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1 квартал 2022 г\"/>
    </mc:Choice>
  </mc:AlternateContent>
  <xr:revisionPtr revIDLastSave="0" documentId="13_ncr:1_{EA9F7116-93C1-44E1-9A7A-27CE980D049A}" xr6:coauthVersionLast="47" xr6:coauthVersionMax="47" xr10:uidLastSave="{00000000-0000-0000-0000-000000000000}"/>
  <bookViews>
    <workbookView xWindow="-120" yWindow="-120" windowWidth="21840" windowHeight="13140" activeTab="3" xr2:uid="{00000000-000D-0000-FFFF-FFFF00000000}"/>
  </bookViews>
  <sheets>
    <sheet name="Прилож 1" sheetId="7" r:id="rId1"/>
    <sheet name="Пр.2" sheetId="9" r:id="rId2"/>
    <sheet name="Пр.3" sheetId="3" r:id="rId3"/>
    <sheet name="Пр.4" sheetId="4" r:id="rId4"/>
    <sheet name="Пр.5" sheetId="6" r:id="rId5"/>
    <sheet name="Пр.6." sheetId="8" r:id="rId6"/>
    <sheet name="Пр.7" sheetId="10" r:id="rId7"/>
  </sheets>
  <definedNames>
    <definedName name="_xlnm.Print_Area" localSheetId="1">Пр.2!$A$1:$M$35</definedName>
    <definedName name="_xlnm.Print_Area" localSheetId="2">Пр.3!$A$1:$N$47</definedName>
    <definedName name="_xlnm.Print_Area" localSheetId="3">Пр.4!$A$1:$J$145</definedName>
    <definedName name="_xlnm.Print_Area" localSheetId="4">Пр.5!$A$1:$K$137</definedName>
    <definedName name="_xlnm.Print_Area" localSheetId="5">'Пр.6.'!$A$1:$G$32</definedName>
    <definedName name="_xlnm.Print_Area" localSheetId="6">Пр.7!$A$1:$C$11</definedName>
  </definedName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8" i="4" l="1"/>
  <c r="F37" i="4" s="1"/>
  <c r="L37" i="4" s="1"/>
  <c r="F36" i="4"/>
  <c r="L36" i="4" s="1"/>
  <c r="G103" i="4"/>
  <c r="H65" i="4"/>
  <c r="H61" i="4"/>
  <c r="F89" i="4"/>
  <c r="L55" i="4"/>
  <c r="M55" i="4"/>
  <c r="N55" i="4"/>
  <c r="L56" i="4"/>
  <c r="M56" i="4"/>
  <c r="N56" i="4"/>
  <c r="L57" i="4"/>
  <c r="M57" i="4"/>
  <c r="N57" i="4"/>
  <c r="L58" i="4"/>
  <c r="M58" i="4"/>
  <c r="L45" i="4"/>
  <c r="M45" i="4"/>
  <c r="N45" i="4"/>
  <c r="L46" i="4"/>
  <c r="M46" i="4"/>
  <c r="N46" i="4"/>
  <c r="L47" i="4"/>
  <c r="M47" i="4"/>
  <c r="N47" i="4"/>
  <c r="L48" i="4"/>
  <c r="M48" i="4"/>
  <c r="N48" i="4"/>
  <c r="L31" i="4"/>
  <c r="M31" i="4"/>
  <c r="N31" i="4"/>
  <c r="L32" i="4"/>
  <c r="M32" i="4"/>
  <c r="N32" i="4"/>
  <c r="L33" i="4"/>
  <c r="M33" i="4"/>
  <c r="N33" i="4"/>
  <c r="L34" i="4"/>
  <c r="M34" i="4"/>
  <c r="N34" i="4"/>
  <c r="L35" i="4"/>
  <c r="M35" i="4"/>
  <c r="N35" i="4"/>
  <c r="M36" i="4"/>
  <c r="N36" i="4"/>
  <c r="M37" i="4"/>
  <c r="N37" i="4"/>
  <c r="L38" i="4"/>
  <c r="M38" i="4"/>
  <c r="N38" i="4"/>
  <c r="L39" i="4"/>
  <c r="M39" i="4"/>
  <c r="N39" i="4"/>
  <c r="L17" i="4"/>
  <c r="M17" i="4"/>
  <c r="N17" i="4"/>
  <c r="H107" i="4"/>
  <c r="G107" i="4"/>
  <c r="F107" i="4"/>
  <c r="H103" i="4"/>
  <c r="F103" i="4"/>
  <c r="H89" i="4"/>
  <c r="G89" i="4"/>
  <c r="H85" i="4"/>
  <c r="G85" i="4"/>
  <c r="F85" i="4"/>
  <c r="G65" i="4"/>
  <c r="H73" i="4"/>
  <c r="G73" i="4"/>
  <c r="F65" i="4"/>
  <c r="G61" i="4"/>
  <c r="H57" i="4"/>
  <c r="G57" i="4"/>
  <c r="F57" i="4"/>
  <c r="H51" i="4"/>
  <c r="G51" i="4"/>
  <c r="F51" i="4"/>
  <c r="H45" i="4"/>
  <c r="G45" i="4"/>
  <c r="F45" i="4"/>
  <c r="I144" i="4"/>
  <c r="G15" i="4"/>
  <c r="H15" i="4"/>
  <c r="F15" i="4"/>
  <c r="N106" i="6"/>
  <c r="N107" i="6"/>
  <c r="N108" i="6"/>
  <c r="N109" i="6"/>
  <c r="N110" i="6"/>
  <c r="N111" i="6"/>
  <c r="N112" i="6"/>
  <c r="N113" i="6"/>
  <c r="N114" i="6"/>
  <c r="N115" i="6"/>
  <c r="N116" i="6"/>
  <c r="N117" i="6"/>
  <c r="N75" i="6"/>
  <c r="N76" i="6"/>
  <c r="N77" i="6"/>
  <c r="N33" i="6"/>
  <c r="N34" i="6"/>
  <c r="N37" i="6"/>
  <c r="N38" i="6"/>
  <c r="N39" i="6"/>
  <c r="N40" i="6"/>
  <c r="I70" i="6"/>
  <c r="I114" i="6"/>
  <c r="J114" i="6"/>
  <c r="J70" i="6"/>
  <c r="J11" i="6"/>
  <c r="I12" i="6"/>
  <c r="I11" i="6" s="1"/>
  <c r="I10" i="6" s="1"/>
  <c r="J12" i="6"/>
  <c r="I24" i="6"/>
  <c r="I23" i="6" s="1"/>
  <c r="J24" i="6"/>
  <c r="J23" i="6" s="1"/>
  <c r="I52" i="6"/>
  <c r="J52" i="6"/>
  <c r="I78" i="6"/>
  <c r="J78" i="6"/>
  <c r="I84" i="6"/>
  <c r="J84" i="6"/>
  <c r="J90" i="6"/>
  <c r="I103" i="6"/>
  <c r="J103" i="6"/>
  <c r="O106" i="6"/>
  <c r="O107" i="6"/>
  <c r="O108" i="6"/>
  <c r="I13" i="6"/>
  <c r="J13" i="6"/>
  <c r="H13" i="6"/>
  <c r="H52" i="6"/>
  <c r="H51" i="6"/>
  <c r="H50" i="6" s="1"/>
  <c r="H78" i="6"/>
  <c r="H84" i="6"/>
  <c r="I85" i="6"/>
  <c r="H79" i="6"/>
  <c r="I14" i="6"/>
  <c r="I15" i="6"/>
  <c r="M11" i="3"/>
  <c r="L37" i="3"/>
  <c r="M37" i="3"/>
  <c r="M32" i="3" s="1"/>
  <c r="K37" i="3"/>
  <c r="K32" i="3" s="1"/>
  <c r="L41" i="3"/>
  <c r="M41" i="3"/>
  <c r="K41" i="3"/>
  <c r="L11" i="3"/>
  <c r="K11" i="3"/>
  <c r="F26" i="8"/>
  <c r="F23" i="8"/>
  <c r="F18" i="8"/>
  <c r="F16" i="8"/>
  <c r="F14" i="8"/>
  <c r="F13" i="8"/>
  <c r="F12" i="8"/>
  <c r="E23" i="8"/>
  <c r="E22" i="8" s="1"/>
  <c r="E14" i="8"/>
  <c r="E26" i="8"/>
  <c r="E25" i="8" s="1"/>
  <c r="E16" i="8"/>
  <c r="E18" i="8"/>
  <c r="E12" i="8"/>
  <c r="E29" i="8"/>
  <c r="E27" i="8"/>
  <c r="E19" i="8"/>
  <c r="E17" i="8"/>
  <c r="E13" i="8"/>
  <c r="D14" i="8"/>
  <c r="D23" i="8"/>
  <c r="D18" i="8"/>
  <c r="D16" i="8"/>
  <c r="D13" i="8"/>
  <c r="D12" i="8"/>
  <c r="M24" i="9"/>
  <c r="M23" i="9"/>
  <c r="M22" i="9"/>
  <c r="J10" i="6" l="1"/>
  <c r="L32" i="3"/>
  <c r="K47" i="3"/>
  <c r="H112" i="4" l="1"/>
  <c r="H111" i="4" s="1"/>
  <c r="M100" i="4"/>
  <c r="I23" i="4"/>
  <c r="J23" i="4"/>
  <c r="I39" i="4"/>
  <c r="J39" i="4"/>
  <c r="I69" i="4"/>
  <c r="J69" i="4"/>
  <c r="I79" i="4"/>
  <c r="J79" i="4"/>
  <c r="I94" i="4"/>
  <c r="J94" i="4"/>
  <c r="I97" i="4"/>
  <c r="I113" i="4"/>
  <c r="J113" i="4"/>
  <c r="I119" i="4"/>
  <c r="I120" i="4"/>
  <c r="I133" i="4"/>
  <c r="J133" i="4"/>
  <c r="I139" i="4"/>
  <c r="J139" i="4"/>
  <c r="G112" i="4"/>
  <c r="F112" i="4"/>
  <c r="F111" i="4" s="1"/>
  <c r="H118" i="4"/>
  <c r="J107" i="4"/>
  <c r="G96" i="4"/>
  <c r="I96" i="4" s="1"/>
  <c r="H96" i="4"/>
  <c r="H95" i="4" s="1"/>
  <c r="F96" i="4"/>
  <c r="F95" i="4" s="1"/>
  <c r="I73" i="4"/>
  <c r="I57" i="4"/>
  <c r="I126" i="4"/>
  <c r="G118" i="4"/>
  <c r="F118" i="4"/>
  <c r="J51" i="6"/>
  <c r="J50" i="6" s="1"/>
  <c r="M55" i="6"/>
  <c r="N55" i="6"/>
  <c r="O55" i="6"/>
  <c r="I15" i="8"/>
  <c r="J15" i="8"/>
  <c r="I24" i="8"/>
  <c r="J24" i="8"/>
  <c r="I28" i="8"/>
  <c r="J28" i="8"/>
  <c r="I31" i="8"/>
  <c r="J31" i="8"/>
  <c r="H93" i="6"/>
  <c r="H92" i="6" s="1"/>
  <c r="H111" i="6"/>
  <c r="H103" i="6" s="1"/>
  <c r="J111" i="6"/>
  <c r="I111" i="6"/>
  <c r="I16" i="4" l="1"/>
  <c r="I45" i="4"/>
  <c r="J112" i="4"/>
  <c r="J61" i="4"/>
  <c r="J89" i="4"/>
  <c r="I107" i="4"/>
  <c r="G95" i="4"/>
  <c r="I95" i="4" s="1"/>
  <c r="I127" i="4"/>
  <c r="I112" i="4"/>
  <c r="I89" i="4"/>
  <c r="J126" i="4"/>
  <c r="J16" i="4"/>
  <c r="J45" i="4"/>
  <c r="I61" i="4"/>
  <c r="I103" i="4"/>
  <c r="J28" i="4"/>
  <c r="I28" i="4"/>
  <c r="H117" i="4"/>
  <c r="I118" i="4"/>
  <c r="J57" i="4"/>
  <c r="J73" i="4"/>
  <c r="J103" i="4"/>
  <c r="H110" i="4"/>
  <c r="J85" i="4"/>
  <c r="I85" i="4"/>
  <c r="J65" i="4"/>
  <c r="I65" i="4"/>
  <c r="H116" i="4" l="1"/>
  <c r="I105" i="6"/>
  <c r="J105" i="6"/>
  <c r="H105" i="6"/>
  <c r="H104" i="6" s="1"/>
  <c r="H102" i="6" s="1"/>
  <c r="K16" i="6"/>
  <c r="K17" i="6"/>
  <c r="K21" i="6"/>
  <c r="K22" i="6"/>
  <c r="K25" i="6"/>
  <c r="K26" i="6"/>
  <c r="K27" i="6"/>
  <c r="K28" i="6"/>
  <c r="K29" i="6"/>
  <c r="K31" i="6"/>
  <c r="K33" i="6"/>
  <c r="K34" i="6"/>
  <c r="K35" i="6"/>
  <c r="K36" i="6"/>
  <c r="K40" i="6"/>
  <c r="K41" i="6"/>
  <c r="K42" i="6"/>
  <c r="K43" i="6"/>
  <c r="K49" i="6"/>
  <c r="K54" i="6"/>
  <c r="K55" i="6"/>
  <c r="K56" i="6"/>
  <c r="K57" i="6"/>
  <c r="K58" i="6"/>
  <c r="K61" i="6"/>
  <c r="K66" i="6"/>
  <c r="K71" i="6"/>
  <c r="K72" i="6"/>
  <c r="K73" i="6"/>
  <c r="K74" i="6"/>
  <c r="K76" i="6"/>
  <c r="K77" i="6"/>
  <c r="K81" i="6"/>
  <c r="K86" i="6"/>
  <c r="K89" i="6"/>
  <c r="K94" i="6"/>
  <c r="K106" i="6"/>
  <c r="K109" i="6"/>
  <c r="K112" i="6"/>
  <c r="K120" i="6"/>
  <c r="K124" i="6"/>
  <c r="K131" i="6"/>
  <c r="P28" i="3"/>
  <c r="P29" i="3"/>
  <c r="P19" i="3"/>
  <c r="N28" i="3"/>
  <c r="N46" i="3"/>
  <c r="J26" i="8"/>
  <c r="J16" i="8"/>
  <c r="I14" i="8"/>
  <c r="I29" i="8"/>
  <c r="J30" i="8"/>
  <c r="I30" i="8"/>
  <c r="J23" i="8"/>
  <c r="I23" i="8"/>
  <c r="I21" i="8"/>
  <c r="J20" i="8"/>
  <c r="I18" i="8"/>
  <c r="J18" i="8"/>
  <c r="I16" i="8"/>
  <c r="J14" i="8"/>
  <c r="J13" i="8"/>
  <c r="I13" i="8"/>
  <c r="J12" i="8"/>
  <c r="J93" i="6" l="1"/>
  <c r="F11" i="8"/>
  <c r="I25" i="8"/>
  <c r="I26" i="8"/>
  <c r="I22" i="8"/>
  <c r="H115" i="4"/>
  <c r="H114" i="4" l="1"/>
  <c r="I69" i="6"/>
  <c r="I88" i="6"/>
  <c r="I87" i="6" s="1"/>
  <c r="J88" i="6"/>
  <c r="H88" i="6"/>
  <c r="H87" i="6" s="1"/>
  <c r="H38" i="4"/>
  <c r="G38" i="4"/>
  <c r="K88" i="6" l="1"/>
  <c r="G37" i="4"/>
  <c r="I38" i="4"/>
  <c r="J87" i="6"/>
  <c r="H36" i="4"/>
  <c r="J38" i="4"/>
  <c r="G36" i="4"/>
  <c r="H37" i="4"/>
  <c r="J37" i="4" s="1"/>
  <c r="I68" i="6"/>
  <c r="I67" i="6" s="1"/>
  <c r="M21" i="3"/>
  <c r="J36" i="4" l="1"/>
  <c r="I36" i="4"/>
  <c r="K87" i="6"/>
  <c r="J85" i="6"/>
  <c r="K85" i="6" s="1"/>
  <c r="I51" i="4"/>
  <c r="J51" i="4"/>
  <c r="I37" i="4"/>
  <c r="J21" i="8"/>
  <c r="J92" i="6"/>
  <c r="K70" i="6"/>
  <c r="O89" i="6"/>
  <c r="J80" i="6"/>
  <c r="J79" i="6" s="1"/>
  <c r="O63" i="6"/>
  <c r="N89" i="6"/>
  <c r="M89" i="6"/>
  <c r="I80" i="6"/>
  <c r="N63" i="6"/>
  <c r="M63" i="6"/>
  <c r="K32" i="6"/>
  <c r="G106" i="4"/>
  <c r="H84" i="4"/>
  <c r="H64" i="4"/>
  <c r="N51" i="4"/>
  <c r="M112" i="4"/>
  <c r="G56" i="4"/>
  <c r="M28" i="4"/>
  <c r="H143" i="4"/>
  <c r="G143" i="4"/>
  <c r="F143" i="4"/>
  <c r="F142" i="4" s="1"/>
  <c r="F141" i="4" s="1"/>
  <c r="F140" i="4" s="1"/>
  <c r="L139" i="4"/>
  <c r="M139" i="4"/>
  <c r="H138" i="4"/>
  <c r="F138" i="4"/>
  <c r="F137" i="4" s="1"/>
  <c r="N133" i="4"/>
  <c r="M133" i="4"/>
  <c r="L133" i="4"/>
  <c r="H132" i="4"/>
  <c r="G132" i="4"/>
  <c r="I132" i="4" s="1"/>
  <c r="F132" i="4"/>
  <c r="L132" i="4" s="1"/>
  <c r="L127" i="4"/>
  <c r="N126" i="4"/>
  <c r="M126" i="4"/>
  <c r="L126" i="4"/>
  <c r="H125" i="4"/>
  <c r="G125" i="4"/>
  <c r="F125" i="4"/>
  <c r="L125" i="4" s="1"/>
  <c r="G117" i="4"/>
  <c r="F117" i="4"/>
  <c r="F116" i="4" s="1"/>
  <c r="F115" i="4" s="1"/>
  <c r="M113" i="4"/>
  <c r="L113" i="4"/>
  <c r="L112" i="4"/>
  <c r="H106" i="4"/>
  <c r="F106" i="4"/>
  <c r="L106" i="4" s="1"/>
  <c r="N103" i="4"/>
  <c r="F102" i="4"/>
  <c r="F101" i="4" s="1"/>
  <c r="F100" i="4" s="1"/>
  <c r="N96" i="4"/>
  <c r="M96" i="4"/>
  <c r="L96" i="4"/>
  <c r="H93" i="4"/>
  <c r="G93" i="4"/>
  <c r="F93" i="4"/>
  <c r="L93" i="4" s="1"/>
  <c r="M89" i="4"/>
  <c r="F88" i="4"/>
  <c r="G88" i="4"/>
  <c r="F84" i="4"/>
  <c r="N79" i="4"/>
  <c r="M79" i="4"/>
  <c r="L79" i="4"/>
  <c r="H78" i="4"/>
  <c r="G78" i="4"/>
  <c r="F78" i="4"/>
  <c r="L78" i="4" s="1"/>
  <c r="M73" i="4"/>
  <c r="F73" i="4"/>
  <c r="L73" i="4" s="1"/>
  <c r="H72" i="4"/>
  <c r="N69" i="4"/>
  <c r="M69" i="4"/>
  <c r="L69" i="4"/>
  <c r="H68" i="4"/>
  <c r="G68" i="4"/>
  <c r="M68" i="4" s="1"/>
  <c r="F68" i="4"/>
  <c r="L68" i="4" s="1"/>
  <c r="L65" i="4"/>
  <c r="G64" i="4"/>
  <c r="L61" i="4"/>
  <c r="F60" i="4"/>
  <c r="L60" i="4" s="1"/>
  <c r="F56" i="4"/>
  <c r="F55" i="4" s="1"/>
  <c r="F54" i="4" s="1"/>
  <c r="G50" i="4"/>
  <c r="L51" i="4"/>
  <c r="F44" i="4"/>
  <c r="F34" i="4"/>
  <c r="F33" i="4" s="1"/>
  <c r="F32" i="4" s="1"/>
  <c r="F31" i="4" s="1"/>
  <c r="F30" i="4" s="1"/>
  <c r="L28" i="4"/>
  <c r="H27" i="4"/>
  <c r="N23" i="4"/>
  <c r="M23" i="4"/>
  <c r="L23" i="4"/>
  <c r="H22" i="4"/>
  <c r="G22" i="4"/>
  <c r="F22" i="4"/>
  <c r="L22" i="4" s="1"/>
  <c r="N16" i="4"/>
  <c r="M16" i="4"/>
  <c r="L16" i="4"/>
  <c r="I125" i="4" l="1"/>
  <c r="J93" i="4"/>
  <c r="J106" i="4"/>
  <c r="G116" i="4"/>
  <c r="G115" i="4" s="1"/>
  <c r="I117" i="4"/>
  <c r="G55" i="4"/>
  <c r="I20" i="8"/>
  <c r="I19" i="8"/>
  <c r="H71" i="4"/>
  <c r="N71" i="4" s="1"/>
  <c r="M78" i="4"/>
  <c r="I78" i="4"/>
  <c r="I17" i="4"/>
  <c r="J17" i="4"/>
  <c r="G105" i="4"/>
  <c r="M105" i="4" s="1"/>
  <c r="I106" i="4"/>
  <c r="M22" i="4"/>
  <c r="I22" i="4"/>
  <c r="H77" i="4"/>
  <c r="J78" i="4"/>
  <c r="H131" i="4"/>
  <c r="N131" i="4" s="1"/>
  <c r="J132" i="4"/>
  <c r="H21" i="4"/>
  <c r="H20" i="4" s="1"/>
  <c r="J22" i="4"/>
  <c r="H26" i="4"/>
  <c r="M88" i="4"/>
  <c r="M93" i="4"/>
  <c r="I93" i="4"/>
  <c r="H124" i="4"/>
  <c r="J125" i="4"/>
  <c r="G142" i="4"/>
  <c r="I143" i="4"/>
  <c r="G34" i="4"/>
  <c r="I35" i="4"/>
  <c r="J35" i="4"/>
  <c r="K53" i="6"/>
  <c r="N68" i="4"/>
  <c r="J68" i="4"/>
  <c r="I68" i="4"/>
  <c r="H63" i="4"/>
  <c r="J64" i="4"/>
  <c r="I64" i="4"/>
  <c r="F72" i="4"/>
  <c r="F92" i="4"/>
  <c r="L92" i="4" s="1"/>
  <c r="K80" i="6"/>
  <c r="G72" i="4"/>
  <c r="I72" i="4" s="1"/>
  <c r="H44" i="4"/>
  <c r="H76" i="4"/>
  <c r="N76" i="4" s="1"/>
  <c r="G67" i="4"/>
  <c r="G66" i="4" s="1"/>
  <c r="F77" i="4"/>
  <c r="G77" i="4"/>
  <c r="I77" i="4" s="1"/>
  <c r="F124" i="4"/>
  <c r="F123" i="4" s="1"/>
  <c r="F122" i="4" s="1"/>
  <c r="L122" i="4" s="1"/>
  <c r="F131" i="4"/>
  <c r="L131" i="4" s="1"/>
  <c r="L15" i="4"/>
  <c r="H67" i="4"/>
  <c r="L107" i="4"/>
  <c r="G138" i="4"/>
  <c r="J138" i="4" s="1"/>
  <c r="F27" i="4"/>
  <c r="L27" i="4" s="1"/>
  <c r="F59" i="4"/>
  <c r="F58" i="4" s="1"/>
  <c r="L138" i="4"/>
  <c r="F50" i="4"/>
  <c r="L50" i="4" s="1"/>
  <c r="L85" i="4"/>
  <c r="L88" i="4"/>
  <c r="F87" i="4"/>
  <c r="G92" i="4"/>
  <c r="F21" i="4"/>
  <c r="F67" i="4"/>
  <c r="F66" i="4" s="1"/>
  <c r="G87" i="4"/>
  <c r="L89" i="4"/>
  <c r="H14" i="4"/>
  <c r="F105" i="4"/>
  <c r="G111" i="4"/>
  <c r="L137" i="4"/>
  <c r="F136" i="4"/>
  <c r="F83" i="4"/>
  <c r="L84" i="4"/>
  <c r="N106" i="4"/>
  <c r="H105" i="4"/>
  <c r="G27" i="4"/>
  <c r="I27" i="4" s="1"/>
  <c r="F64" i="4"/>
  <c r="N22" i="4"/>
  <c r="H34" i="4"/>
  <c r="G44" i="4"/>
  <c r="H50" i="4"/>
  <c r="J50" i="4" s="1"/>
  <c r="H92" i="4"/>
  <c r="L103" i="4"/>
  <c r="H88" i="4"/>
  <c r="J88" i="4" s="1"/>
  <c r="N93" i="4"/>
  <c r="H102" i="4"/>
  <c r="G124" i="4"/>
  <c r="I124" i="4" s="1"/>
  <c r="M125" i="4"/>
  <c r="G131" i="4"/>
  <c r="M132" i="4"/>
  <c r="G63" i="4"/>
  <c r="G21" i="4"/>
  <c r="F43" i="4"/>
  <c r="L44" i="4"/>
  <c r="M50" i="4"/>
  <c r="G49" i="4"/>
  <c r="L54" i="4"/>
  <c r="F29" i="4"/>
  <c r="L29" i="4" s="1"/>
  <c r="L30" i="4"/>
  <c r="N15" i="4"/>
  <c r="F14" i="4"/>
  <c r="H56" i="4"/>
  <c r="J56" i="4" s="1"/>
  <c r="L115" i="4"/>
  <c r="F114" i="4"/>
  <c r="L114" i="4" s="1"/>
  <c r="N26" i="4"/>
  <c r="N27" i="4"/>
  <c r="N28" i="4"/>
  <c r="M51" i="4"/>
  <c r="N84" i="4"/>
  <c r="G60" i="4"/>
  <c r="M61" i="4"/>
  <c r="M64" i="4"/>
  <c r="M65" i="4"/>
  <c r="N72" i="4"/>
  <c r="N73" i="4"/>
  <c r="N77" i="4"/>
  <c r="N78" i="4"/>
  <c r="N85" i="4"/>
  <c r="N89" i="4"/>
  <c r="G102" i="4"/>
  <c r="M103" i="4"/>
  <c r="M106" i="4"/>
  <c r="M107" i="4"/>
  <c r="N124" i="4"/>
  <c r="H137" i="4"/>
  <c r="H60" i="4"/>
  <c r="N61" i="4"/>
  <c r="N64" i="4"/>
  <c r="N65" i="4"/>
  <c r="N125" i="4"/>
  <c r="H83" i="4"/>
  <c r="G84" i="4"/>
  <c r="M85" i="4"/>
  <c r="N132" i="4"/>
  <c r="H142" i="4"/>
  <c r="L33" i="3"/>
  <c r="P45" i="3"/>
  <c r="D29" i="8"/>
  <c r="F29" i="8"/>
  <c r="J29" i="8" s="1"/>
  <c r="I135" i="6"/>
  <c r="I134" i="6" s="1"/>
  <c r="H135" i="6"/>
  <c r="H134" i="6" s="1"/>
  <c r="H133" i="6" s="1"/>
  <c r="H132" i="6" s="1"/>
  <c r="M40" i="6"/>
  <c r="F91" i="4" l="1"/>
  <c r="J105" i="4"/>
  <c r="I131" i="4"/>
  <c r="J60" i="4"/>
  <c r="I21" i="4"/>
  <c r="N21" i="4"/>
  <c r="I102" i="4"/>
  <c r="F49" i="4"/>
  <c r="L49" i="4" s="1"/>
  <c r="I15" i="4"/>
  <c r="J15" i="4"/>
  <c r="H25" i="4"/>
  <c r="I50" i="4"/>
  <c r="G54" i="4"/>
  <c r="I60" i="4"/>
  <c r="H13" i="4"/>
  <c r="N13" i="4" s="1"/>
  <c r="N44" i="4"/>
  <c r="J44" i="4"/>
  <c r="G33" i="4"/>
  <c r="I34" i="4"/>
  <c r="I88" i="4"/>
  <c r="J77" i="4"/>
  <c r="G104" i="4"/>
  <c r="I105" i="4"/>
  <c r="G43" i="4"/>
  <c r="M43" i="4" s="1"/>
  <c r="I44" i="4"/>
  <c r="M92" i="4"/>
  <c r="I92" i="4"/>
  <c r="G114" i="4"/>
  <c r="M114" i="4" s="1"/>
  <c r="I115" i="4"/>
  <c r="H123" i="4"/>
  <c r="J124" i="4"/>
  <c r="J21" i="4"/>
  <c r="J72" i="4"/>
  <c r="H101" i="4"/>
  <c r="J102" i="4"/>
  <c r="J92" i="4"/>
  <c r="H33" i="4"/>
  <c r="J34" i="4"/>
  <c r="I111" i="4"/>
  <c r="J111" i="4"/>
  <c r="M138" i="4"/>
  <c r="I138" i="4"/>
  <c r="G141" i="4"/>
  <c r="I142" i="4"/>
  <c r="J27" i="4"/>
  <c r="H130" i="4"/>
  <c r="J131" i="4"/>
  <c r="H70" i="4"/>
  <c r="I56" i="4"/>
  <c r="I116" i="4"/>
  <c r="J67" i="4"/>
  <c r="I67" i="4"/>
  <c r="J84" i="4"/>
  <c r="I84" i="4"/>
  <c r="H62" i="4"/>
  <c r="I63" i="4"/>
  <c r="J63" i="4"/>
  <c r="N63" i="4"/>
  <c r="L123" i="4"/>
  <c r="M44" i="4"/>
  <c r="L124" i="4"/>
  <c r="M115" i="4"/>
  <c r="L72" i="4"/>
  <c r="F71" i="4"/>
  <c r="H66" i="4"/>
  <c r="F130" i="4"/>
  <c r="L130" i="4" s="1"/>
  <c r="M77" i="4"/>
  <c r="G76" i="4"/>
  <c r="I76" i="4" s="1"/>
  <c r="L59" i="4"/>
  <c r="M21" i="4"/>
  <c r="H75" i="4"/>
  <c r="L77" i="4"/>
  <c r="F76" i="4"/>
  <c r="H43" i="4"/>
  <c r="M72" i="4"/>
  <c r="G71" i="4"/>
  <c r="I71" i="4" s="1"/>
  <c r="H87" i="4"/>
  <c r="F121" i="4"/>
  <c r="L121" i="4" s="1"/>
  <c r="G137" i="4"/>
  <c r="I137" i="4" s="1"/>
  <c r="G83" i="4"/>
  <c r="F26" i="4"/>
  <c r="L26" i="4" s="1"/>
  <c r="N88" i="4"/>
  <c r="N14" i="4"/>
  <c r="G91" i="4"/>
  <c r="L111" i="4"/>
  <c r="F110" i="4"/>
  <c r="F109" i="4" s="1"/>
  <c r="F108" i="4" s="1"/>
  <c r="M87" i="4"/>
  <c r="G86" i="4"/>
  <c r="L87" i="4"/>
  <c r="F86" i="4"/>
  <c r="L86" i="4" s="1"/>
  <c r="L21" i="4"/>
  <c r="F20" i="4"/>
  <c r="L105" i="4"/>
  <c r="F104" i="4"/>
  <c r="M111" i="4"/>
  <c r="G110" i="4"/>
  <c r="F135" i="4"/>
  <c r="L136" i="4"/>
  <c r="M131" i="4"/>
  <c r="G130" i="4"/>
  <c r="I130" i="4" s="1"/>
  <c r="H91" i="4"/>
  <c r="N92" i="4"/>
  <c r="N50" i="4"/>
  <c r="H49" i="4"/>
  <c r="J49" i="4" s="1"/>
  <c r="L64" i="4"/>
  <c r="F63" i="4"/>
  <c r="M27" i="4"/>
  <c r="G26" i="4"/>
  <c r="I26" i="4" s="1"/>
  <c r="L91" i="4"/>
  <c r="F90" i="4"/>
  <c r="N105" i="4"/>
  <c r="H104" i="4"/>
  <c r="M124" i="4"/>
  <c r="G123" i="4"/>
  <c r="F82" i="4"/>
  <c r="L83" i="4"/>
  <c r="H19" i="4"/>
  <c r="N20" i="4"/>
  <c r="M63" i="4"/>
  <c r="G62" i="4"/>
  <c r="G20" i="4"/>
  <c r="N83" i="4"/>
  <c r="H82" i="4"/>
  <c r="H136" i="4"/>
  <c r="M15" i="4"/>
  <c r="G14" i="4"/>
  <c r="I14" i="4" s="1"/>
  <c r="G101" i="4"/>
  <c r="M60" i="4"/>
  <c r="G59" i="4"/>
  <c r="H55" i="4"/>
  <c r="J55" i="4" s="1"/>
  <c r="L14" i="4"/>
  <c r="F13" i="4"/>
  <c r="H141" i="4"/>
  <c r="M84" i="4"/>
  <c r="N60" i="4"/>
  <c r="H59" i="4"/>
  <c r="J59" i="4" s="1"/>
  <c r="F48" i="4"/>
  <c r="F47" i="4" s="1"/>
  <c r="F46" i="4" s="1"/>
  <c r="M49" i="4"/>
  <c r="G48" i="4"/>
  <c r="L43" i="4"/>
  <c r="F42" i="4"/>
  <c r="I133" i="6"/>
  <c r="I132" i="6" s="1"/>
  <c r="J135" i="6"/>
  <c r="M33" i="6"/>
  <c r="O110" i="6"/>
  <c r="I101" i="4" l="1"/>
  <c r="J43" i="4"/>
  <c r="J71" i="4"/>
  <c r="F129" i="4"/>
  <c r="L129" i="4" s="1"/>
  <c r="I123" i="4"/>
  <c r="J91" i="4"/>
  <c r="G19" i="4"/>
  <c r="I19" i="4" s="1"/>
  <c r="I20" i="4"/>
  <c r="H129" i="4"/>
  <c r="J130" i="4"/>
  <c r="N130" i="4"/>
  <c r="I114" i="4"/>
  <c r="G32" i="4"/>
  <c r="I33" i="4"/>
  <c r="H12" i="4"/>
  <c r="I49" i="4"/>
  <c r="J104" i="4"/>
  <c r="I110" i="4"/>
  <c r="J110" i="4"/>
  <c r="M86" i="4"/>
  <c r="M91" i="4"/>
  <c r="I91" i="4"/>
  <c r="H100" i="4"/>
  <c r="J101" i="4"/>
  <c r="J123" i="4"/>
  <c r="N123" i="4"/>
  <c r="H122" i="4"/>
  <c r="G42" i="4"/>
  <c r="I43" i="4"/>
  <c r="J26" i="4"/>
  <c r="I59" i="4"/>
  <c r="N87" i="4"/>
  <c r="J87" i="4"/>
  <c r="N70" i="4"/>
  <c r="I87" i="4"/>
  <c r="H32" i="4"/>
  <c r="J33" i="4"/>
  <c r="I55" i="4"/>
  <c r="H24" i="4"/>
  <c r="H18" i="4" s="1"/>
  <c r="N25" i="4"/>
  <c r="J134" i="6"/>
  <c r="G140" i="4"/>
  <c r="I141" i="4"/>
  <c r="J20" i="4"/>
  <c r="I104" i="4"/>
  <c r="M104" i="4"/>
  <c r="J14" i="4"/>
  <c r="M54" i="4"/>
  <c r="J76" i="4"/>
  <c r="J137" i="4"/>
  <c r="J66" i="4"/>
  <c r="I66" i="4"/>
  <c r="J83" i="4"/>
  <c r="I83" i="4"/>
  <c r="J62" i="4"/>
  <c r="I62" i="4"/>
  <c r="N62" i="4"/>
  <c r="L90" i="4"/>
  <c r="F25" i="4"/>
  <c r="F24" i="4" s="1"/>
  <c r="L71" i="4"/>
  <c r="F70" i="4"/>
  <c r="L70" i="4" s="1"/>
  <c r="H86" i="4"/>
  <c r="J86" i="4" s="1"/>
  <c r="G90" i="4"/>
  <c r="H74" i="4"/>
  <c r="N75" i="4"/>
  <c r="M76" i="4"/>
  <c r="G75" i="4"/>
  <c r="I75" i="4" s="1"/>
  <c r="G70" i="4"/>
  <c r="I70" i="4" s="1"/>
  <c r="M71" i="4"/>
  <c r="N43" i="4"/>
  <c r="H42" i="4"/>
  <c r="L76" i="4"/>
  <c r="F75" i="4"/>
  <c r="M137" i="4"/>
  <c r="G136" i="4"/>
  <c r="I136" i="4" s="1"/>
  <c r="H81" i="4"/>
  <c r="F19" i="4"/>
  <c r="L20" i="4"/>
  <c r="L104" i="4"/>
  <c r="F99" i="4"/>
  <c r="F98" i="4" s="1"/>
  <c r="L98" i="4" s="1"/>
  <c r="L110" i="4"/>
  <c r="M110" i="4"/>
  <c r="G109" i="4"/>
  <c r="N91" i="4"/>
  <c r="H90" i="4"/>
  <c r="N49" i="4"/>
  <c r="H48" i="4"/>
  <c r="I48" i="4" s="1"/>
  <c r="N19" i="4"/>
  <c r="L82" i="4"/>
  <c r="F81" i="4"/>
  <c r="F80" i="4" s="1"/>
  <c r="N104" i="4"/>
  <c r="M26" i="4"/>
  <c r="G25" i="4"/>
  <c r="I25" i="4" s="1"/>
  <c r="M130" i="4"/>
  <c r="G129" i="4"/>
  <c r="G122" i="4"/>
  <c r="M123" i="4"/>
  <c r="L63" i="4"/>
  <c r="F62" i="4"/>
  <c r="L135" i="4"/>
  <c r="F134" i="4"/>
  <c r="L134" i="4" s="1"/>
  <c r="M62" i="4"/>
  <c r="M20" i="4"/>
  <c r="N59" i="4"/>
  <c r="H58" i="4"/>
  <c r="N58" i="4" s="1"/>
  <c r="L13" i="4"/>
  <c r="F12" i="4"/>
  <c r="H54" i="4"/>
  <c r="J54" i="4" s="1"/>
  <c r="G13" i="4"/>
  <c r="I13" i="4" s="1"/>
  <c r="M14" i="4"/>
  <c r="F41" i="4"/>
  <c r="L42" i="4"/>
  <c r="M59" i="4"/>
  <c r="G58" i="4"/>
  <c r="G100" i="4"/>
  <c r="N86" i="4"/>
  <c r="N82" i="4"/>
  <c r="M83" i="4"/>
  <c r="G82" i="4"/>
  <c r="N136" i="4"/>
  <c r="H135" i="4"/>
  <c r="G47" i="4"/>
  <c r="H140" i="4"/>
  <c r="I58" i="4" l="1"/>
  <c r="J90" i="4"/>
  <c r="F128" i="4"/>
  <c r="L128" i="4" s="1"/>
  <c r="J42" i="4"/>
  <c r="J19" i="4"/>
  <c r="I129" i="4"/>
  <c r="J136" i="4"/>
  <c r="J70" i="4"/>
  <c r="H121" i="4"/>
  <c r="J122" i="4"/>
  <c r="N122" i="4"/>
  <c r="J100" i="4"/>
  <c r="H99" i="4"/>
  <c r="G99" i="4"/>
  <c r="I100" i="4"/>
  <c r="I90" i="4"/>
  <c r="I54" i="4"/>
  <c r="J25" i="4"/>
  <c r="J32" i="4"/>
  <c r="H31" i="4"/>
  <c r="I32" i="4"/>
  <c r="G31" i="4"/>
  <c r="G46" i="4"/>
  <c r="J58" i="4"/>
  <c r="G121" i="4"/>
  <c r="I122" i="4"/>
  <c r="N24" i="4"/>
  <c r="J13" i="4"/>
  <c r="J129" i="4"/>
  <c r="N129" i="4"/>
  <c r="H128" i="4"/>
  <c r="H47" i="4"/>
  <c r="I47" i="4" s="1"/>
  <c r="J48" i="4"/>
  <c r="G108" i="4"/>
  <c r="I140" i="4"/>
  <c r="G41" i="4"/>
  <c r="I42" i="4"/>
  <c r="M42" i="4"/>
  <c r="I86" i="4"/>
  <c r="H11" i="4"/>
  <c r="N12" i="4"/>
  <c r="J75" i="4"/>
  <c r="G81" i="4"/>
  <c r="G80" i="4" s="1"/>
  <c r="J82" i="4"/>
  <c r="I82" i="4"/>
  <c r="H80" i="4"/>
  <c r="M90" i="4"/>
  <c r="L25" i="4"/>
  <c r="L19" i="4"/>
  <c r="F18" i="4"/>
  <c r="L18" i="4" s="1"/>
  <c r="N42" i="4"/>
  <c r="H41" i="4"/>
  <c r="L75" i="4"/>
  <c r="F74" i="4"/>
  <c r="L74" i="4" s="1"/>
  <c r="M70" i="4"/>
  <c r="M75" i="4"/>
  <c r="G74" i="4"/>
  <c r="I74" i="4" s="1"/>
  <c r="N74" i="4"/>
  <c r="M136" i="4"/>
  <c r="G135" i="4"/>
  <c r="I135" i="4" s="1"/>
  <c r="N90" i="4"/>
  <c r="L109" i="4"/>
  <c r="L108" i="4"/>
  <c r="M109" i="4"/>
  <c r="M122" i="4"/>
  <c r="L80" i="4"/>
  <c r="L81" i="4"/>
  <c r="N18" i="4"/>
  <c r="L62" i="4"/>
  <c r="F53" i="4"/>
  <c r="G128" i="4"/>
  <c r="I128" i="4" s="1"/>
  <c r="M129" i="4"/>
  <c r="M25" i="4"/>
  <c r="G24" i="4"/>
  <c r="L24" i="4"/>
  <c r="M19" i="4"/>
  <c r="M82" i="4"/>
  <c r="N81" i="4"/>
  <c r="N54" i="4"/>
  <c r="H53" i="4"/>
  <c r="N135" i="4"/>
  <c r="H134" i="4"/>
  <c r="H109" i="4"/>
  <c r="G53" i="4"/>
  <c r="L41" i="4"/>
  <c r="F40" i="4"/>
  <c r="G12" i="4"/>
  <c r="I12" i="4" s="1"/>
  <c r="M13" i="4"/>
  <c r="L12" i="4"/>
  <c r="F11" i="4"/>
  <c r="J133" i="6"/>
  <c r="I121" i="4" l="1"/>
  <c r="G18" i="4"/>
  <c r="I24" i="4"/>
  <c r="N11" i="4"/>
  <c r="H10" i="4"/>
  <c r="N10" i="4" s="1"/>
  <c r="G40" i="4"/>
  <c r="I41" i="4"/>
  <c r="M41" i="4"/>
  <c r="H30" i="4"/>
  <c r="J31" i="4"/>
  <c r="H46" i="4"/>
  <c r="J46" i="4" s="1"/>
  <c r="J47" i="4"/>
  <c r="I46" i="4"/>
  <c r="H108" i="4"/>
  <c r="J108" i="4" s="1"/>
  <c r="J109" i="4"/>
  <c r="I109" i="4"/>
  <c r="J128" i="4"/>
  <c r="N128" i="4"/>
  <c r="J135" i="4"/>
  <c r="G30" i="4"/>
  <c r="I31" i="4"/>
  <c r="G98" i="4"/>
  <c r="I99" i="4"/>
  <c r="J74" i="4"/>
  <c r="J41" i="4"/>
  <c r="J12" i="4"/>
  <c r="J24" i="4"/>
  <c r="H98" i="4"/>
  <c r="J98" i="4" s="1"/>
  <c r="J99" i="4"/>
  <c r="J121" i="4"/>
  <c r="N121" i="4"/>
  <c r="J80" i="4"/>
  <c r="I80" i="4"/>
  <c r="J81" i="4"/>
  <c r="I81" i="4"/>
  <c r="I53" i="4"/>
  <c r="J53" i="4"/>
  <c r="M74" i="4"/>
  <c r="N41" i="4"/>
  <c r="H40" i="4"/>
  <c r="J40" i="4" s="1"/>
  <c r="G134" i="4"/>
  <c r="J134" i="4" s="1"/>
  <c r="M135" i="4"/>
  <c r="M108" i="4"/>
  <c r="M128" i="4"/>
  <c r="L53" i="4"/>
  <c r="F52" i="4"/>
  <c r="M121" i="4"/>
  <c r="M24" i="4"/>
  <c r="M18" i="4"/>
  <c r="L11" i="4"/>
  <c r="F10" i="4"/>
  <c r="L10" i="4" s="1"/>
  <c r="L40" i="4"/>
  <c r="G11" i="4"/>
  <c r="M12" i="4"/>
  <c r="N134" i="4"/>
  <c r="M81" i="4"/>
  <c r="M53" i="4"/>
  <c r="G52" i="4"/>
  <c r="N53" i="4"/>
  <c r="H52" i="4"/>
  <c r="N80" i="4"/>
  <c r="J132" i="6"/>
  <c r="I108" i="4" l="1"/>
  <c r="N98" i="4"/>
  <c r="H29" i="4"/>
  <c r="H145" i="4" s="1"/>
  <c r="H149" i="4" s="1"/>
  <c r="H151" i="4" s="1"/>
  <c r="J30" i="4"/>
  <c r="N30" i="4"/>
  <c r="I30" i="4"/>
  <c r="G29" i="4"/>
  <c r="M30" i="4"/>
  <c r="G10" i="4"/>
  <c r="I11" i="4"/>
  <c r="M134" i="4"/>
  <c r="I134" i="4"/>
  <c r="I98" i="4"/>
  <c r="I40" i="4"/>
  <c r="M40" i="4"/>
  <c r="I18" i="4"/>
  <c r="J18" i="4"/>
  <c r="J52" i="4"/>
  <c r="I52" i="4"/>
  <c r="L52" i="4"/>
  <c r="F145" i="4"/>
  <c r="F149" i="4" s="1"/>
  <c r="N40" i="4"/>
  <c r="M80" i="4"/>
  <c r="M52" i="4"/>
  <c r="N52" i="4"/>
  <c r="M98" i="4"/>
  <c r="M11" i="4"/>
  <c r="J11" i="4"/>
  <c r="I12" i="8"/>
  <c r="K105" i="6"/>
  <c r="G145" i="4" l="1"/>
  <c r="I29" i="4"/>
  <c r="M29" i="4"/>
  <c r="J29" i="4"/>
  <c r="N29" i="4"/>
  <c r="I10" i="4"/>
  <c r="I145" i="4" s="1"/>
  <c r="M10" i="4"/>
  <c r="J10" i="4"/>
  <c r="N19" i="3"/>
  <c r="N44" i="3"/>
  <c r="G30" i="8"/>
  <c r="G28" i="8"/>
  <c r="F27" i="8"/>
  <c r="I27" i="8"/>
  <c r="D27" i="8"/>
  <c r="G26" i="8"/>
  <c r="D25" i="8"/>
  <c r="F25" i="8"/>
  <c r="G23" i="8"/>
  <c r="D22" i="8"/>
  <c r="F22" i="8"/>
  <c r="J22" i="8" s="1"/>
  <c r="G21" i="8"/>
  <c r="D19" i="8"/>
  <c r="G20" i="8"/>
  <c r="F19" i="8"/>
  <c r="J19" i="8" s="1"/>
  <c r="G18" i="8"/>
  <c r="I17" i="8"/>
  <c r="D17" i="8"/>
  <c r="F17" i="8"/>
  <c r="J17" i="8" s="1"/>
  <c r="G16" i="8"/>
  <c r="G15" i="8"/>
  <c r="E11" i="8"/>
  <c r="E32" i="8" s="1"/>
  <c r="I32" i="8" s="1"/>
  <c r="G12" i="8"/>
  <c r="D11" i="8"/>
  <c r="M131" i="6"/>
  <c r="I130" i="6"/>
  <c r="H130" i="6"/>
  <c r="M130" i="6" s="1"/>
  <c r="N124" i="6"/>
  <c r="M124" i="6"/>
  <c r="J123" i="6"/>
  <c r="I123" i="6"/>
  <c r="N123" i="6" s="1"/>
  <c r="H123" i="6"/>
  <c r="M123" i="6" s="1"/>
  <c r="N120" i="6"/>
  <c r="M120" i="6"/>
  <c r="J119" i="6"/>
  <c r="I119" i="6"/>
  <c r="N119" i="6" s="1"/>
  <c r="H119" i="6"/>
  <c r="H118" i="6" s="1"/>
  <c r="M112" i="6"/>
  <c r="M111" i="6"/>
  <c r="M109" i="6"/>
  <c r="J104" i="6"/>
  <c r="N105" i="6"/>
  <c r="M105" i="6"/>
  <c r="M101" i="6"/>
  <c r="J100" i="6"/>
  <c r="J99" i="6" s="1"/>
  <c r="I100" i="6"/>
  <c r="I99" i="6" s="1"/>
  <c r="H100" i="6"/>
  <c r="M100" i="6" s="1"/>
  <c r="M98" i="6"/>
  <c r="N94" i="6"/>
  <c r="M94" i="6"/>
  <c r="J91" i="6"/>
  <c r="M93" i="6"/>
  <c r="N86" i="6"/>
  <c r="M86" i="6"/>
  <c r="H85" i="6"/>
  <c r="M84" i="6" s="1"/>
  <c r="N82" i="6"/>
  <c r="M82" i="6"/>
  <c r="N81" i="6"/>
  <c r="M81" i="6"/>
  <c r="N80" i="6"/>
  <c r="H80" i="6"/>
  <c r="M80" i="6" s="1"/>
  <c r="M77" i="6"/>
  <c r="M75" i="6"/>
  <c r="N74" i="6"/>
  <c r="M74" i="6"/>
  <c r="N73" i="6"/>
  <c r="M73" i="6"/>
  <c r="N72" i="6"/>
  <c r="M72" i="6"/>
  <c r="N71" i="6"/>
  <c r="M71" i="6"/>
  <c r="J69" i="6"/>
  <c r="N70" i="6"/>
  <c r="H70" i="6"/>
  <c r="H69" i="6" s="1"/>
  <c r="M69" i="6" s="1"/>
  <c r="N66" i="6"/>
  <c r="M66" i="6"/>
  <c r="J65" i="6"/>
  <c r="I65" i="6"/>
  <c r="N65" i="6" s="1"/>
  <c r="H65" i="6"/>
  <c r="M65" i="6" s="1"/>
  <c r="N62" i="6"/>
  <c r="M62" i="6"/>
  <c r="H61" i="6"/>
  <c r="N60" i="6"/>
  <c r="M60" i="6"/>
  <c r="N59" i="6"/>
  <c r="M59" i="6"/>
  <c r="N58" i="6"/>
  <c r="M58" i="6"/>
  <c r="N57" i="6"/>
  <c r="M57" i="6"/>
  <c r="N56" i="6"/>
  <c r="M56" i="6"/>
  <c r="N54" i="6"/>
  <c r="M54" i="6"/>
  <c r="M53" i="6"/>
  <c r="N53" i="6"/>
  <c r="N49" i="6"/>
  <c r="M49" i="6"/>
  <c r="J48" i="6"/>
  <c r="I48" i="6"/>
  <c r="N48" i="6" s="1"/>
  <c r="H48" i="6"/>
  <c r="M48" i="6" s="1"/>
  <c r="N43" i="6"/>
  <c r="M43" i="6"/>
  <c r="N42" i="6"/>
  <c r="M42" i="6"/>
  <c r="N41" i="6"/>
  <c r="M41" i="6"/>
  <c r="M39" i="6"/>
  <c r="M37" i="6"/>
  <c r="N36" i="6"/>
  <c r="M36" i="6"/>
  <c r="N35" i="6"/>
  <c r="M35" i="6"/>
  <c r="M34" i="6"/>
  <c r="M32" i="6"/>
  <c r="N32" i="6"/>
  <c r="N31" i="6"/>
  <c r="M31" i="6"/>
  <c r="N30" i="6"/>
  <c r="M30" i="6"/>
  <c r="N29" i="6"/>
  <c r="M29" i="6"/>
  <c r="N28" i="6"/>
  <c r="M28" i="6"/>
  <c r="N27" i="6"/>
  <c r="M27" i="6"/>
  <c r="N26" i="6"/>
  <c r="M26" i="6"/>
  <c r="N25" i="6"/>
  <c r="M25" i="6"/>
  <c r="N22" i="6"/>
  <c r="M22" i="6"/>
  <c r="N21" i="6"/>
  <c r="M21" i="6"/>
  <c r="I20" i="6"/>
  <c r="I19" i="6" s="1"/>
  <c r="N19" i="6" s="1"/>
  <c r="H20" i="6"/>
  <c r="M20" i="6" s="1"/>
  <c r="H15" i="6"/>
  <c r="M15" i="6" s="1"/>
  <c r="K14" i="6"/>
  <c r="H14" i="6"/>
  <c r="N45" i="3"/>
  <c r="P42" i="3"/>
  <c r="P41" i="3"/>
  <c r="P40" i="3"/>
  <c r="N40" i="3"/>
  <c r="P39" i="3"/>
  <c r="N39" i="3"/>
  <c r="P38" i="3"/>
  <c r="P37" i="3"/>
  <c r="P46" i="3"/>
  <c r="N36" i="3"/>
  <c r="P35" i="3"/>
  <c r="N35" i="3"/>
  <c r="P34" i="3"/>
  <c r="M33" i="3"/>
  <c r="K33" i="3"/>
  <c r="P31" i="3"/>
  <c r="P30" i="3"/>
  <c r="P27" i="3"/>
  <c r="N27" i="3"/>
  <c r="P26" i="3"/>
  <c r="N26" i="3"/>
  <c r="P25" i="3"/>
  <c r="N25" i="3"/>
  <c r="P24" i="3"/>
  <c r="N24" i="3"/>
  <c r="P23" i="3"/>
  <c r="N23" i="3"/>
  <c r="P22" i="3"/>
  <c r="L21" i="3"/>
  <c r="K21" i="3"/>
  <c r="P20" i="3"/>
  <c r="N20" i="3"/>
  <c r="P18" i="3"/>
  <c r="N18" i="3"/>
  <c r="P17" i="3"/>
  <c r="N17" i="3"/>
  <c r="P16" i="3"/>
  <c r="N16" i="3"/>
  <c r="P15" i="3"/>
  <c r="N15" i="3"/>
  <c r="P14" i="3"/>
  <c r="M13" i="3"/>
  <c r="L13" i="3"/>
  <c r="K13" i="3"/>
  <c r="P12" i="3"/>
  <c r="N12" i="3"/>
  <c r="M18" i="9"/>
  <c r="M19" i="9" s="1"/>
  <c r="M20" i="9" s="1"/>
  <c r="M16" i="9"/>
  <c r="M34" i="9" s="1"/>
  <c r="N15" i="6" l="1"/>
  <c r="K15" i="6"/>
  <c r="J47" i="6"/>
  <c r="K48" i="6"/>
  <c r="P33" i="3"/>
  <c r="N33" i="3"/>
  <c r="I93" i="6"/>
  <c r="K93" i="6" s="1"/>
  <c r="K98" i="6"/>
  <c r="F32" i="8"/>
  <c r="J32" i="8" s="1"/>
  <c r="J25" i="8"/>
  <c r="J118" i="6"/>
  <c r="K119" i="6"/>
  <c r="G27" i="8"/>
  <c r="J27" i="8"/>
  <c r="J122" i="6"/>
  <c r="K123" i="6"/>
  <c r="K111" i="6"/>
  <c r="I129" i="6"/>
  <c r="J68" i="6"/>
  <c r="J67" i="6" s="1"/>
  <c r="K69" i="6"/>
  <c r="J64" i="6"/>
  <c r="K65" i="6"/>
  <c r="N98" i="6"/>
  <c r="G149" i="4"/>
  <c r="G151" i="4" s="1"/>
  <c r="J145" i="4"/>
  <c r="G25" i="8"/>
  <c r="G13" i="8"/>
  <c r="G19" i="8"/>
  <c r="I122" i="6"/>
  <c r="I121" i="6" s="1"/>
  <c r="N121" i="6" s="1"/>
  <c r="G22" i="8"/>
  <c r="G17" i="8"/>
  <c r="H47" i="6"/>
  <c r="M47" i="6" s="1"/>
  <c r="M13" i="6"/>
  <c r="K13" i="6"/>
  <c r="H68" i="6"/>
  <c r="M79" i="6"/>
  <c r="J20" i="6"/>
  <c r="N14" i="6"/>
  <c r="H19" i="6"/>
  <c r="H18" i="6" s="1"/>
  <c r="M18" i="6" s="1"/>
  <c r="N69" i="6"/>
  <c r="H129" i="6"/>
  <c r="H128" i="6" s="1"/>
  <c r="M128" i="6" s="1"/>
  <c r="J130" i="6"/>
  <c r="K130" i="6" s="1"/>
  <c r="H24" i="6"/>
  <c r="M24" i="6" s="1"/>
  <c r="H64" i="6"/>
  <c r="M64" i="6" s="1"/>
  <c r="N61" i="6"/>
  <c r="I64" i="6"/>
  <c r="N64" i="6" s="1"/>
  <c r="H99" i="6"/>
  <c r="M14" i="6"/>
  <c r="I118" i="6"/>
  <c r="N118" i="6" s="1"/>
  <c r="I18" i="6"/>
  <c r="N18" i="6" s="1"/>
  <c r="H122" i="6"/>
  <c r="M122" i="6" s="1"/>
  <c r="N13" i="3"/>
  <c r="N37" i="3"/>
  <c r="P13" i="3"/>
  <c r="D32" i="8"/>
  <c r="G11" i="8"/>
  <c r="G14" i="8"/>
  <c r="G29" i="8"/>
  <c r="J121" i="6"/>
  <c r="M118" i="6"/>
  <c r="H117" i="6"/>
  <c r="N20" i="6"/>
  <c r="M61" i="6"/>
  <c r="I79" i="6"/>
  <c r="K79" i="6" s="1"/>
  <c r="M70" i="6"/>
  <c r="M85" i="6"/>
  <c r="M119" i="6"/>
  <c r="I47" i="6"/>
  <c r="I104" i="6"/>
  <c r="N41" i="3"/>
  <c r="P21" i="3"/>
  <c r="M47" i="3"/>
  <c r="M50" i="3" s="1"/>
  <c r="M51" i="3" s="1"/>
  <c r="N21" i="3"/>
  <c r="H46" i="6" l="1"/>
  <c r="H45" i="6" s="1"/>
  <c r="K121" i="6"/>
  <c r="L47" i="3"/>
  <c r="L50" i="3" s="1"/>
  <c r="L51" i="3" s="1"/>
  <c r="K50" i="3"/>
  <c r="F151" i="4" s="1"/>
  <c r="K122" i="6"/>
  <c r="J19" i="6"/>
  <c r="K20" i="6"/>
  <c r="K64" i="6"/>
  <c r="N23" i="6"/>
  <c r="K24" i="6"/>
  <c r="J117" i="6"/>
  <c r="K118" i="6"/>
  <c r="J46" i="6"/>
  <c r="K47" i="6"/>
  <c r="M99" i="6"/>
  <c r="K103" i="6"/>
  <c r="K104" i="6"/>
  <c r="I128" i="6"/>
  <c r="J102" i="6"/>
  <c r="N93" i="6"/>
  <c r="K68" i="6"/>
  <c r="I51" i="6"/>
  <c r="I50" i="6" s="1"/>
  <c r="K52" i="6"/>
  <c r="N122" i="6"/>
  <c r="N11" i="3"/>
  <c r="M78" i="6"/>
  <c r="H12" i="6"/>
  <c r="M12" i="6" s="1"/>
  <c r="M46" i="6"/>
  <c r="H121" i="6"/>
  <c r="M121" i="6" s="1"/>
  <c r="I117" i="6"/>
  <c r="H23" i="6"/>
  <c r="M23" i="6" s="1"/>
  <c r="N13" i="6"/>
  <c r="K12" i="6"/>
  <c r="M19" i="6"/>
  <c r="H67" i="6"/>
  <c r="M67" i="6" s="1"/>
  <c r="M68" i="6"/>
  <c r="I92" i="6"/>
  <c r="H127" i="6"/>
  <c r="M127" i="6" s="1"/>
  <c r="N24" i="6"/>
  <c r="M129" i="6"/>
  <c r="J129" i="6"/>
  <c r="K129" i="6" s="1"/>
  <c r="P11" i="3"/>
  <c r="G32" i="8"/>
  <c r="N104" i="6"/>
  <c r="N47" i="6"/>
  <c r="I46" i="6"/>
  <c r="H91" i="6"/>
  <c r="H90" i="6" s="1"/>
  <c r="M92" i="6"/>
  <c r="M52" i="6"/>
  <c r="N52" i="6"/>
  <c r="M104" i="6"/>
  <c r="N79" i="6"/>
  <c r="M117" i="6"/>
  <c r="H116" i="6"/>
  <c r="M45" i="6"/>
  <c r="H44" i="6"/>
  <c r="M44" i="6" s="1"/>
  <c r="N32" i="3"/>
  <c r="P32" i="3"/>
  <c r="H11" i="6" l="1"/>
  <c r="M11" i="6" s="1"/>
  <c r="K117" i="6"/>
  <c r="J116" i="6"/>
  <c r="J18" i="6"/>
  <c r="K18" i="6" s="1"/>
  <c r="K19" i="6"/>
  <c r="J45" i="6"/>
  <c r="K46" i="6"/>
  <c r="K23" i="6"/>
  <c r="I127" i="6"/>
  <c r="N92" i="6"/>
  <c r="K92" i="6"/>
  <c r="K50" i="6"/>
  <c r="K51" i="6"/>
  <c r="I91" i="6"/>
  <c r="I90" i="6" s="1"/>
  <c r="I116" i="6"/>
  <c r="N12" i="6"/>
  <c r="H126" i="6"/>
  <c r="K67" i="6"/>
  <c r="N68" i="6"/>
  <c r="J128" i="6"/>
  <c r="K128" i="6" s="1"/>
  <c r="N51" i="6"/>
  <c r="I102" i="6"/>
  <c r="K102" i="6" s="1"/>
  <c r="N103" i="6"/>
  <c r="M103" i="6"/>
  <c r="M102" i="6"/>
  <c r="H115" i="6"/>
  <c r="M116" i="6"/>
  <c r="M51" i="6"/>
  <c r="M50" i="6"/>
  <c r="M91" i="6"/>
  <c r="M90" i="6"/>
  <c r="N46" i="6"/>
  <c r="I45" i="6"/>
  <c r="P47" i="3"/>
  <c r="N47" i="3"/>
  <c r="K116" i="6" l="1"/>
  <c r="J115" i="6"/>
  <c r="J44" i="6"/>
  <c r="K44" i="6" s="1"/>
  <c r="K45" i="6"/>
  <c r="I126" i="6"/>
  <c r="N91" i="6"/>
  <c r="K91" i="6"/>
  <c r="I115" i="6"/>
  <c r="K90" i="6"/>
  <c r="M126" i="6"/>
  <c r="H125" i="6"/>
  <c r="M125" i="6" s="1"/>
  <c r="N67" i="6"/>
  <c r="K11" i="6"/>
  <c r="N11" i="6"/>
  <c r="J127" i="6"/>
  <c r="K127" i="6" s="1"/>
  <c r="N45" i="6"/>
  <c r="I44" i="6"/>
  <c r="N44" i="6" s="1"/>
  <c r="N102" i="6"/>
  <c r="H10" i="6"/>
  <c r="H9" i="6" s="1"/>
  <c r="H114" i="6"/>
  <c r="M115" i="6"/>
  <c r="N50" i="6"/>
  <c r="K115" i="6" l="1"/>
  <c r="K114" i="6"/>
  <c r="J9" i="6"/>
  <c r="J137" i="6" s="1"/>
  <c r="I125" i="6"/>
  <c r="N126" i="6"/>
  <c r="N90" i="6"/>
  <c r="J126" i="6"/>
  <c r="J125" i="6" s="1"/>
  <c r="H137" i="6"/>
  <c r="M137" i="6" s="1"/>
  <c r="M114" i="6"/>
  <c r="K126" i="6" l="1"/>
  <c r="K125" i="6"/>
  <c r="N125" i="6"/>
  <c r="K10" i="6"/>
  <c r="O22" i="6" l="1"/>
  <c r="O39" i="6"/>
  <c r="O41" i="6"/>
  <c r="O109" i="6"/>
  <c r="O44" i="6"/>
  <c r="J140" i="6" l="1"/>
  <c r="J141" i="6" s="1"/>
  <c r="O64" i="6"/>
  <c r="O30" i="6"/>
  <c r="O60" i="6"/>
  <c r="O112" i="6"/>
  <c r="F35" i="8" l="1"/>
  <c r="F37" i="8" s="1"/>
  <c r="O111" i="6" l="1"/>
  <c r="O15" i="6" l="1"/>
  <c r="O18" i="6"/>
  <c r="O23" i="6"/>
  <c r="O26" i="6"/>
  <c r="O27" i="6"/>
  <c r="O28" i="6"/>
  <c r="O29" i="6"/>
  <c r="O31" i="6"/>
  <c r="O32" i="6"/>
  <c r="O34" i="6"/>
  <c r="O35" i="6"/>
  <c r="O36" i="6"/>
  <c r="O37" i="6"/>
  <c r="O42" i="6"/>
  <c r="O43" i="6"/>
  <c r="O50" i="6"/>
  <c r="O54" i="6"/>
  <c r="O56" i="6"/>
  <c r="O57" i="6"/>
  <c r="O58" i="6"/>
  <c r="O59" i="6"/>
  <c r="O61" i="6"/>
  <c r="O62" i="6"/>
  <c r="O67" i="6"/>
  <c r="O72" i="6"/>
  <c r="O73" i="6"/>
  <c r="O74" i="6"/>
  <c r="O75" i="6"/>
  <c r="O76" i="6"/>
  <c r="O78" i="6"/>
  <c r="O82" i="6"/>
  <c r="O84" i="6"/>
  <c r="O90" i="6"/>
  <c r="O98" i="6"/>
  <c r="O120" i="6"/>
  <c r="O124" i="6"/>
  <c r="O131" i="6"/>
  <c r="O130" i="6" l="1"/>
  <c r="O80" i="6"/>
  <c r="O81" i="6"/>
  <c r="O129" i="6" l="1"/>
  <c r="O86" i="6"/>
  <c r="O128" i="6" l="1"/>
  <c r="D35" i="8" l="1"/>
  <c r="D37" i="8" s="1"/>
  <c r="O85" i="6"/>
  <c r="O127" i="6"/>
  <c r="O126" i="6" l="1"/>
  <c r="O125" i="6" l="1"/>
  <c r="O94" i="6"/>
  <c r="E35" i="8" l="1"/>
  <c r="E37" i="8" s="1"/>
  <c r="O25" i="6"/>
  <c r="O119" i="6"/>
  <c r="O48" i="6"/>
  <c r="O49" i="6"/>
  <c r="O53" i="6"/>
  <c r="O47" i="6" l="1"/>
  <c r="O51" i="6"/>
  <c r="O52" i="6"/>
  <c r="O118" i="6"/>
  <c r="O46" i="6" l="1"/>
  <c r="O45" i="6"/>
  <c r="O117" i="6"/>
  <c r="O116" i="6" l="1"/>
  <c r="O115" i="6" l="1"/>
  <c r="O114" i="6" l="1"/>
  <c r="O105" i="6" l="1"/>
  <c r="O123" i="6" l="1"/>
  <c r="O122" i="6" l="1"/>
  <c r="O79" i="6"/>
  <c r="O121" i="6" l="1"/>
  <c r="O93" i="6" l="1"/>
  <c r="O71" i="6" l="1"/>
  <c r="O24" i="6"/>
  <c r="O70" i="6" l="1"/>
  <c r="O69" i="6" l="1"/>
  <c r="O68" i="6" l="1"/>
  <c r="O21" i="6" l="1"/>
  <c r="O66" i="6" l="1"/>
  <c r="O14" i="6"/>
  <c r="O65" i="6" l="1"/>
  <c r="O20" i="6"/>
  <c r="O13" i="6"/>
  <c r="O12" i="6" l="1"/>
  <c r="O19" i="6"/>
  <c r="O104" i="6"/>
  <c r="O92" i="6"/>
  <c r="O91" i="6" l="1"/>
  <c r="O103" i="6"/>
  <c r="H140" i="6"/>
  <c r="H141" i="6" s="1"/>
  <c r="O102" i="6" l="1"/>
  <c r="O137" i="6" l="1"/>
  <c r="K84" i="6" l="1"/>
  <c r="N85" i="6"/>
  <c r="N84" i="6" l="1"/>
  <c r="K78" i="6" l="1"/>
  <c r="I9" i="6"/>
  <c r="I137" i="6" s="1"/>
  <c r="N78" i="6"/>
  <c r="K9" i="6" l="1"/>
  <c r="N137" i="6" l="1"/>
  <c r="K137" i="6"/>
  <c r="I140" i="6"/>
  <c r="I141" i="6" s="1"/>
</calcChain>
</file>

<file path=xl/sharedStrings.xml><?xml version="1.0" encoding="utf-8"?>
<sst xmlns="http://schemas.openxmlformats.org/spreadsheetml/2006/main" count="1583" uniqueCount="480">
  <si>
    <t>Код бюджетной классификации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</si>
  <si>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</si>
  <si>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Наименование кода бюджетной классификации</t>
  </si>
  <si>
    <t>Код главного администратора</t>
  </si>
  <si>
    <t>11105025100000120</t>
  </si>
  <si>
    <t>11105035100000120</t>
  </si>
  <si>
    <t>11701050100000180</t>
  </si>
  <si>
    <t>11705050100000180</t>
  </si>
  <si>
    <t>Администрация Казанцевского сельсовета</t>
  </si>
  <si>
    <t>10804020011000110</t>
  </si>
  <si>
    <t xml:space="preserve">ИТОГО </t>
  </si>
  <si>
    <t>Единый сельскохозяйственный налог</t>
  </si>
  <si>
    <t>Налог на доходы физических лиц</t>
  </si>
  <si>
    <t>Наименование главных распорядителей, получателей бюджетных средств и наименование показателей бюджетной классификации</t>
  </si>
  <si>
    <t>Раздел  Подраздел</t>
  </si>
  <si>
    <t>Целевая статья</t>
  </si>
  <si>
    <t>Вид расходов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</si>
  <si>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</si>
  <si>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</si>
  <si>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</si>
  <si>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</si>
  <si>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первичного воинского учета на территориях, где отсутствуют военные комиссариаты</t>
  </si>
  <si>
    <t>000</t>
  </si>
  <si>
    <t>Код ведомства</t>
  </si>
  <si>
    <t>0100</t>
  </si>
  <si>
    <t>0102</t>
  </si>
  <si>
    <t>0103</t>
  </si>
  <si>
    <t>0104</t>
  </si>
  <si>
    <t>0801</t>
  </si>
  <si>
    <t>0203</t>
  </si>
  <si>
    <t>0500</t>
  </si>
  <si>
    <t>0503</t>
  </si>
  <si>
    <t>Заработная плата</t>
  </si>
  <si>
    <t>Услуги связи</t>
  </si>
  <si>
    <t>Коммунальные услуги</t>
  </si>
  <si>
    <t>Увеличение стоимости основных средств</t>
  </si>
  <si>
    <t>Статья</t>
  </si>
  <si>
    <t>211</t>
  </si>
  <si>
    <t>213</t>
  </si>
  <si>
    <t>Начисления на оплату труда</t>
  </si>
  <si>
    <t>340</t>
  </si>
  <si>
    <t>221</t>
  </si>
  <si>
    <t>223</t>
  </si>
  <si>
    <t>Услуги по содержанию имущества</t>
  </si>
  <si>
    <t>225</t>
  </si>
  <si>
    <t>Прочие услуги</t>
  </si>
  <si>
    <t>226</t>
  </si>
  <si>
    <t>Транспортные услуги</t>
  </si>
  <si>
    <t>222</t>
  </si>
  <si>
    <t>310</t>
  </si>
  <si>
    <t>Резервные фонды местных администраций</t>
  </si>
  <si>
    <t>№ п/п</t>
  </si>
  <si>
    <t>Увеличение стоимости материальных запасов</t>
  </si>
  <si>
    <t>№ строки</t>
  </si>
  <si>
    <t>Налог на имущество физических лиц</t>
  </si>
  <si>
    <t>Земельный налог</t>
  </si>
  <si>
    <t>Иные межбюджетные трансферты</t>
  </si>
  <si>
    <t>0113</t>
  </si>
  <si>
    <t>0409</t>
  </si>
  <si>
    <t>11402053100000410</t>
  </si>
  <si>
    <t>11406025100000430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</si>
  <si>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</si>
  <si>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</si>
  <si>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</si>
  <si>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</si>
  <si>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</si>
  <si>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Обеспечение деятельности административных комиссий</t>
  </si>
  <si>
    <t>121</t>
  </si>
  <si>
    <t>244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</si>
  <si>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</si>
  <si>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</si>
  <si>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Закупка товаров, работ и услуг для государственных (муниципальных) нужд</t>
  </si>
  <si>
    <t>200</t>
  </si>
  <si>
    <t>240</t>
  </si>
  <si>
    <t>120</t>
  </si>
  <si>
    <t>(тыс.руб.)</t>
  </si>
  <si>
    <t>Непрограммные расходы</t>
  </si>
  <si>
    <t>Мероприятие "Сохранение и развитие автомобильных дорог общего пользования местного значения, находящихся в границах населённых пунктов муниципального образования «Казанцевский сельсовет»"</t>
  </si>
  <si>
    <t>Мероприятие "Комплексное решение проблем благоустройства, приведение освещенности в соответствие с требованиями, предъявляемыми к уровню наружного освещения мест общего пользования и увеличение протяженности освещенных улиц, дорог, создание условий для комфортного и безопасного проживания  жителей"</t>
  </si>
  <si>
    <t>Передача отдельных полномочий по исполнению бюджета</t>
  </si>
  <si>
    <t>540</t>
  </si>
  <si>
    <t>251</t>
  </si>
  <si>
    <t>10804020014000110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</si>
  <si>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(прочие поступления)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</si>
  <si>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</si>
  <si>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</si>
  <si>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</si>
  <si>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</si>
  <si>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Прочие неналоговые доходы бюджетов сельских поселений</t>
  </si>
  <si>
    <t>Код классификации доходов бюджета</t>
  </si>
  <si>
    <t>Наименование групп, подгрупп, статей, подстатей, элементов, подвидов доходов, кодов классификации операций сектора государственного управления, относящихся к доходам бюджетов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</si>
  <si>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</si>
  <si>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</si>
  <si>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</si>
  <si>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</si>
  <si>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</si>
  <si>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</si>
  <si>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</si>
  <si>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код классификации операций сектора государственного управления, относящихся к доходам бюджетов</t>
  </si>
  <si>
    <t>НАЛОГОВЫЕ И НЕНАЛОГОВЫЕ ДОХОДЫ</t>
  </si>
  <si>
    <t>1</t>
  </si>
  <si>
    <t>00</t>
  </si>
  <si>
    <t>0000</t>
  </si>
  <si>
    <t>182</t>
  </si>
  <si>
    <t>01</t>
  </si>
  <si>
    <t>02</t>
  </si>
  <si>
    <t>110</t>
  </si>
  <si>
    <t>0505</t>
  </si>
  <si>
    <t>03</t>
  </si>
  <si>
    <t>05</t>
  </si>
  <si>
    <t>06</t>
  </si>
  <si>
    <t>в том числе:</t>
  </si>
  <si>
    <t>3.1</t>
  </si>
  <si>
    <t>3.2</t>
  </si>
  <si>
    <t>3.3</t>
  </si>
  <si>
    <t>3.4</t>
  </si>
  <si>
    <t>6.1</t>
  </si>
  <si>
    <t>6.2</t>
  </si>
  <si>
    <t>033</t>
  </si>
  <si>
    <t>10</t>
  </si>
  <si>
    <t>043</t>
  </si>
  <si>
    <t>08</t>
  </si>
  <si>
    <t>04</t>
  </si>
  <si>
    <t>020</t>
  </si>
  <si>
    <t>1000</t>
  </si>
  <si>
    <t>11</t>
  </si>
  <si>
    <t>351</t>
  </si>
  <si>
    <t>2</t>
  </si>
  <si>
    <t>БЕЗВОЗМЕЗДНЫЕ ПОСТУПЛЕНИЯ</t>
  </si>
  <si>
    <t>807</t>
  </si>
  <si>
    <t>001</t>
  </si>
  <si>
    <t>999</t>
  </si>
  <si>
    <t>024</t>
  </si>
  <si>
    <t>Всего</t>
  </si>
  <si>
    <t>16.1</t>
  </si>
  <si>
    <t>14</t>
  </si>
  <si>
    <t>053</t>
  </si>
  <si>
    <t>410</t>
  </si>
  <si>
    <t>025</t>
  </si>
  <si>
    <t>430</t>
  </si>
  <si>
    <t>Непрограммные расходы представительного органа</t>
  </si>
  <si>
    <t>Глава муниципального образования в рамках непрограммных расходов представительного органа</t>
  </si>
  <si>
    <t xml:space="preserve">Функционирование Совета депутатов Казанцевского сельсовета </t>
  </si>
  <si>
    <t>Непрограммные расходы Администрации Казанцевского сельсовета</t>
  </si>
  <si>
    <t>Другие общегосударственные вопросы</t>
  </si>
  <si>
    <t>Непрограммные расходы администрации Казанцевского сельсовета</t>
  </si>
  <si>
    <t>НАЦИОНАЛЬНАЯ ОБОРОНА</t>
  </si>
  <si>
    <t>0200</t>
  </si>
  <si>
    <t>Мобилизационная и вневойсковая подготовка</t>
  </si>
  <si>
    <t>НАЦИОНАЛЬНАЯ ЭКОНОМИКА</t>
  </si>
  <si>
    <t>0400</t>
  </si>
  <si>
    <t>Дорожное хозяйство (дорожные фонды)</t>
  </si>
  <si>
    <t>ЖИЛИЩНО-КОММУНАЛЬНОЕ ХОЗЯЙСТВО</t>
  </si>
  <si>
    <t>Благоустройство</t>
  </si>
  <si>
    <t>КУЛЬТУРА, КИНЕМАТОГРАФИЯ</t>
  </si>
  <si>
    <t/>
  </si>
  <si>
    <t>Мероприятие «Капитальный ремонт и восстановление дорожных покрытий»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</si>
  <si>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</si>
  <si>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</si>
  <si>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Руководство и управление в сфере установленных функций органов местного самоуправления в рамках непрограммных расходов администрации Казанцевского сельсовета</t>
  </si>
  <si>
    <t xml:space="preserve">Осуществление расходов по созданию и обеспечению деятельности административных комиссий </t>
  </si>
  <si>
    <t>Осуществление первичного воинского учета на территориях, где отсутствуют военные комиссариаты в рамках непрограммных расходов администрации Казанцевского сельсовета</t>
  </si>
  <si>
    <t>500</t>
  </si>
  <si>
    <t>Межбюджетные трансферты</t>
  </si>
  <si>
    <t>850</t>
  </si>
  <si>
    <t>Уплата налогов, сборов и иных платежей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</si>
  <si>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 платежу, в том числе по отмененному)</t>
  </si>
  <si>
    <t>7514</t>
  </si>
  <si>
    <t>6100080210</t>
  </si>
  <si>
    <t>6200080220</t>
  </si>
  <si>
    <t>6300080210</t>
  </si>
  <si>
    <t>6300080620</t>
  </si>
  <si>
    <t>129</t>
  </si>
  <si>
    <t>853</t>
  </si>
  <si>
    <t>0200000000</t>
  </si>
  <si>
    <t>6400075140</t>
  </si>
  <si>
    <t>6400051180</t>
  </si>
  <si>
    <t>122</t>
  </si>
  <si>
    <t>0110080010</t>
  </si>
  <si>
    <t>0100000000</t>
  </si>
  <si>
    <t>0120080000</t>
  </si>
  <si>
    <t>0120080010</t>
  </si>
  <si>
    <t>0120080020</t>
  </si>
  <si>
    <t>0110000000</t>
  </si>
  <si>
    <t>0120000000</t>
  </si>
  <si>
    <t>7412</t>
  </si>
  <si>
    <t>НАЦИОНАЛЬНАЯ БЕЗОПАСНОСТЬ И ПРАВООХРАНИТЕЛЬНАЯ ДЕЯТЕЛЬНОСТЬ</t>
  </si>
  <si>
    <t>0310</t>
  </si>
  <si>
    <t>СОЦИАЛЬНОЕ ОБЕСПЕЧЕНИЕ</t>
  </si>
  <si>
    <t>Социальные выплаты гражданам</t>
  </si>
  <si>
    <t>Пособие по социальной помощи населению</t>
  </si>
  <si>
    <t>6400091190</t>
  </si>
  <si>
    <t>300</t>
  </si>
  <si>
    <t>360</t>
  </si>
  <si>
    <t>262</t>
  </si>
  <si>
    <t>0300</t>
  </si>
  <si>
    <t>0210000000</t>
  </si>
  <si>
    <t>831</t>
  </si>
  <si>
    <t>15</t>
  </si>
  <si>
    <t>30</t>
  </si>
  <si>
    <t>49</t>
  </si>
  <si>
    <t>40</t>
  </si>
  <si>
    <t>9135</t>
  </si>
  <si>
    <t>Доходы бюджетов сельских поселений от возврата бюджетными учреждениями остатков субсидий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</si>
  <si>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</si>
  <si>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Муниципальная программа «Обеспечение жизнедеятельности, противодействие коррупции на территории муниципального образования «Казанцевский сельсовет» </t>
  </si>
  <si>
    <t xml:space="preserve">Сохранение протяженности, соответствующей нормативным требованиям, внутрипоселковых автомобильных дорог за счет проведения капитального ремонта и восстановления дорожных покрытий в рамках мероприятия «Капитальный ремонт и восстановление дорожных покрытий» муниципальной программы «Обеспечение жизнедеятельности, противодействие коррупции на территории муниципального образования «Казанцевский сельсовет» </t>
  </si>
  <si>
    <t>Мероприятие "Обеспечение противопожарной безопасности"</t>
  </si>
  <si>
    <t>227</t>
  </si>
  <si>
    <t>Страхование</t>
  </si>
  <si>
    <t>296</t>
  </si>
  <si>
    <t>Иные расходы</t>
  </si>
  <si>
    <t>Культура</t>
  </si>
  <si>
    <t>Непрограммные расходы на частичное возмещение расходов по созданию условий для организации досуга и обеспечения жителей поселения услугами организаций культуры</t>
  </si>
  <si>
    <t>6400000000</t>
  </si>
  <si>
    <t>Функционирование учреждений культуры</t>
  </si>
  <si>
    <t>Межбюджетные трансферты на частичное возмещение расходов по созданию условий для организации досуга и обеспечения жителей поселения услугами организаций культуры</t>
  </si>
  <si>
    <t xml:space="preserve">Межбюджетные трансферты </t>
  </si>
  <si>
    <t>Резервные фонды</t>
  </si>
  <si>
    <t>0111</t>
  </si>
  <si>
    <t>Повышение эффективности деятельности
Администрации Казанцевского сельсовета</t>
  </si>
  <si>
    <t>Формирование и использование средств резервных
фондов</t>
  </si>
  <si>
    <t>Иные бюджетные ассигнования</t>
  </si>
  <si>
    <t>Резервные средства</t>
  </si>
  <si>
    <t>Функционирование Администрации Казанцевского сельсовета</t>
  </si>
  <si>
    <t>6400080220</t>
  </si>
  <si>
    <t>0800</t>
  </si>
  <si>
    <t>6100080000</t>
  </si>
  <si>
    <t>800</t>
  </si>
  <si>
    <t>870</t>
  </si>
  <si>
    <t>6400080000</t>
  </si>
  <si>
    <t>Софинансирование. Услуги по содержанию имущества</t>
  </si>
  <si>
    <t>Другие вопросы в области национальной безопасности и правоохранительной деятельности</t>
  </si>
  <si>
    <t>0314</t>
  </si>
  <si>
    <t>6300080220</t>
  </si>
  <si>
    <t>Штрафы</t>
  </si>
  <si>
    <t>02100S4120</t>
  </si>
  <si>
    <t>7601</t>
  </si>
  <si>
    <t xml:space="preserve">Доплаты к пенсиям государственных служащих субъектов Российской Федерации и муниципальных служащих </t>
  </si>
  <si>
    <t>Пенсия за выслугу лет</t>
  </si>
  <si>
    <t>Публичные нормативные социальные выплаты гражданам</t>
  </si>
  <si>
    <t>СОЦИАЛЬНАЯ ПОЛИТИКА</t>
  </si>
  <si>
    <t>Пенсионное обеспечение</t>
  </si>
  <si>
    <t>1001</t>
  </si>
  <si>
    <t>6300000000</t>
  </si>
  <si>
    <t>Социальное обеспечение и иные выплаты населению</t>
  </si>
  <si>
    <t>20215001109134150</t>
  </si>
  <si>
    <t>20215001107601150</t>
  </si>
  <si>
    <t>20235118100000150</t>
  </si>
  <si>
    <t>20230024107514150</t>
  </si>
  <si>
    <t>20249999109135150</t>
  </si>
  <si>
    <t>20249999109119150</t>
  </si>
  <si>
    <t>21805010100000150</t>
  </si>
  <si>
    <t>21960010100000150</t>
  </si>
  <si>
    <t>20229999107412150</t>
  </si>
  <si>
    <t>20229999107508150</t>
  </si>
  <si>
    <t>20229999107509150</t>
  </si>
  <si>
    <t>150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</si>
  <si>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</si>
  <si>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</si>
  <si>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231</t>
  </si>
  <si>
    <t>241</t>
  </si>
  <si>
    <t>261</t>
  </si>
  <si>
    <t>264</t>
  </si>
  <si>
    <t>0412</t>
  </si>
  <si>
    <t>6400080210</t>
  </si>
  <si>
    <t>Другие вопросы в области национальной экономики</t>
  </si>
  <si>
    <t>6400080230</t>
  </si>
  <si>
    <t>11302995100000130</t>
  </si>
  <si>
    <t>Прочие доходы от компенсаций затрат бюджетов сельских поселений</t>
  </si>
  <si>
    <t>13</t>
  </si>
  <si>
    <t>995</t>
  </si>
  <si>
    <t>130</t>
  </si>
  <si>
    <t>6100000000</t>
  </si>
  <si>
    <t>6200000000</t>
  </si>
  <si>
    <t>Социальные выплаты</t>
  </si>
  <si>
    <t>266</t>
  </si>
  <si>
    <t>295</t>
  </si>
  <si>
    <t>Налоги, пошлины, сборы, санкции</t>
  </si>
  <si>
    <t>Расходы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</si>
  <si>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Процент исполнения</t>
  </si>
  <si>
    <t>(тыс. рублей)</t>
  </si>
  <si>
    <t>Наименование показателя бюджетной классификации</t>
  </si>
  <si>
    <t>Раздел-подраздел</t>
  </si>
  <si>
    <t>3</t>
  </si>
  <si>
    <t>4</t>
  </si>
  <si>
    <t>5</t>
  </si>
  <si>
    <t>ОБЩЕГОСУДАРСТВЕННЫЕ ВОПРОСЫ</t>
  </si>
  <si>
    <t>Функционирование высшего должностного лица субъекта Российской  Федерации и муниципального образования</t>
  </si>
  <si>
    <t>Обеспечение пожарной безопасности</t>
  </si>
  <si>
    <t>СОЦИАЛЬНОЕ ОБЕСПЕЧЕНИЕ НАСЕЛЕНИЯ</t>
  </si>
  <si>
    <t>ВСЕГО</t>
  </si>
  <si>
    <t>6</t>
  </si>
  <si>
    <t>Предоставление дотаций на выравнивание бюджетной обеспеченности поселений района за счет собственных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поселений Шушенского района, содействие повышению качества управления муниципальными финансами поселений района" муниципальной программы Шушенского района "Управление муниципальными финансами"</t>
  </si>
  <si>
    <t>Предоставление дотаций на выравнивание бюджетной обеспеченности поселений района за счет средств субвенции на реализацию государственных полномочий по расчету и предоставлению дотаций на выравнивание бюджетной обеспеченности поселениям, входящим в состав муниципального района края в рамках подпрограммы "Создание условий для эффективного и ответственного управления муниципальными финансами, повышения устойчивости бюджетов поселений Шушенского района, содействие повышению качества управления муниципальными финансами поселений района" муниципальной программы Шушенского района "Управление муниципальными финансами"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</si>
  <si>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</si>
  <si>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 (Выполнение государственных полномочий по созданию и обеспечению деятельности административных комиссий в рамках непрограммных расходов финансового управления администрации Шушенского района)</t>
  </si>
  <si>
    <t>Предоставление межбюджетных трансфертов поселениям района на поддержку мер по обеспечению сбалансированности бюджетов поселений района в рамках подпрограммы "Создание условий для эффективного и ответственного управления муниципальными финансами, повышения устойчивости бюджетов поселений Шушенского района, содействие повышению качества управления муниципальными финансами поселений района" муниципальной программы Шушенского района "Управление муниципальными финансами"</t>
  </si>
  <si>
    <t>20229999101049150</t>
  </si>
  <si>
    <t>Прочие субсидии бюджетам сельских поселений (Региональные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финансового управления администрации Шушенского района)</t>
  </si>
  <si>
    <t>Прочие субсидии бюджетам сельских поселений (Расходы на обеспечение первичных мер пожарной безопасности в рамках отдельных мероприятий муниципальной программы Шушенского района "Защита населения и территорий Шушенского района от чрезвычайных ситуаций природного и техногенного характера")</t>
  </si>
  <si>
    <t>Прочие субсидии бюджетам сельских поселений (Расходы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Шушенского района" муниципальной программы Шушенского района "Развитие транспортной системы")</t>
  </si>
  <si>
    <t>Прочие субсидии бюджетам сельских поселений (Субсидии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системы»)</t>
  </si>
  <si>
    <t xml:space="preserve">Земельный налог с организации, обладающих земельным участком, расположенным в границах сельских поселений </t>
  </si>
  <si>
    <t>Земельный налог с физических лиц, обладающих земельным участком, расположенным в границах сельских поселений</t>
  </si>
  <si>
    <t>20</t>
  </si>
  <si>
    <t>29</t>
  </si>
  <si>
    <t>35</t>
  </si>
  <si>
    <t>118</t>
  </si>
  <si>
    <t>16</t>
  </si>
  <si>
    <t xml:space="preserve">Неисполненные назначения </t>
  </si>
  <si>
    <t>Муниципальная программа «Обеспечение жизнедеятельности, противодействие коррупции на территории муниципального образования «Казанцевский сельсовет» на 2020-2022 годы»</t>
  </si>
  <si>
    <t>Мероприятие «Комплексное решение проблем благоустройства, приведение освещенности в соответсвие с требованиями, предъявленными к уровню наружного освещения мест общего пользования и увелечение протяженности освещенных улиц, дорог, создание условий для комфортного и безопасного проживания жителей»</t>
  </si>
  <si>
    <t xml:space="preserve">Содержание объектов уличного освещения в рамках мероприятия «Комплексное решение проблем благоустройства, приведение освещенности в соответсвие с требованиями, предъявленными к уровню наружного освещения мест общего пользования и увелечение протяженности освещенных улиц, дорог, создание условий для комфортного и безопасного проживания жителей» муниципальной программы «Обеспечение жизнедеятельности, противодействие коррупции на территории муниципального образования «Казанцевский сельсовет» </t>
  </si>
  <si>
    <t xml:space="preserve">Организация работ по благоустройству территории МО "Казанцевский сельсовет" «Комплексное решение проблем благоустройства, приведение освещенности в соответсвие с требованиями, предъявленными к уровню наружного освещения мест общего пользования и увелечение протяженности освещенных улиц, дорог, создание условий для комфортного и безопасного проживания жителей» муниципальной программы "Обеспечение жизнедеятельности, противодействие коррупции на территории муниципального образования "Казанцевски сельсовет" </t>
  </si>
  <si>
    <t>Создание условий для повышения и развития противопожарной безопасности</t>
  </si>
  <si>
    <t>02100S0010</t>
  </si>
  <si>
    <t>6200080000</t>
  </si>
  <si>
    <t>Расходы на выплаты работников бюджетной сферы не ниже размера минимальной заработной платы (минимального размера оплаты труда)</t>
  </si>
  <si>
    <t>Резервный фонд администрации в рамках непрограммных расходов администрации Казанцевского сельсовета</t>
  </si>
  <si>
    <t>Расходы на мероприятия в области национальной безопасности деятельности администрации Казанцевского сельсовета в рамках непрограммных расходов Администрации Казанцевского сельсовета</t>
  </si>
  <si>
    <t>6300080000</t>
  </si>
  <si>
    <t>Расходы на мероприятия в области национальной экономики администрации Казанцевского сельсовета в рамках непрограммных расходов Администрации Казанцевского сельсовета</t>
  </si>
  <si>
    <t>Расходы на обеспечение первичных мер пожарной безопасности администрации Казанцевского сельсовета в рамках непрограммных расходов Администрации Казанцевского сельсовета</t>
  </si>
  <si>
    <t>код</t>
  </si>
  <si>
    <t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</si>
  <si>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7</t>
  </si>
  <si>
    <t>8</t>
  </si>
  <si>
    <t>9</t>
  </si>
  <si>
    <t>12</t>
  </si>
  <si>
    <t>17</t>
  </si>
  <si>
    <t>18</t>
  </si>
  <si>
    <t>19</t>
  </si>
  <si>
    <t>21</t>
  </si>
  <si>
    <t>22</t>
  </si>
  <si>
    <t>23</t>
  </si>
  <si>
    <t>807 0102 00 00 00 0000 000</t>
  </si>
  <si>
    <t>807 0102 00 00 00 0000 700</t>
  </si>
  <si>
    <t>807 0102 00 00 05 0000 710</t>
  </si>
  <si>
    <t>807 0102 00 00 00 0000 800</t>
  </si>
  <si>
    <t>807 0102 00 00 05 0000 810</t>
  </si>
  <si>
    <t>807 01 05 00 00 00 0000 000</t>
  </si>
  <si>
    <t>807 01 05 00 00 00 0000 500</t>
  </si>
  <si>
    <t>807 01 06 05 02 00 0000 540</t>
  </si>
  <si>
    <t>807 01 06 05 00 00 0000 500</t>
  </si>
  <si>
    <t>807 01 06 05 02 05 0000 640</t>
  </si>
  <si>
    <t>807 01 06 05 02 00 0000 640</t>
  </si>
  <si>
    <t>807 01 06 05 01 05 0000 640</t>
  </si>
  <si>
    <t>807 01 06 05 01 00 0000 640</t>
  </si>
  <si>
    <t>807 01 06 05 00 00 0000 600</t>
  </si>
  <si>
    <t>807 01 06 05 00 00 0000 000</t>
  </si>
  <si>
    <t>807 01 06 00 00 00 0000 000</t>
  </si>
  <si>
    <t>807 01 05 02 01 05 0000 610</t>
  </si>
  <si>
    <t>807 01 05 02 01 00 0000 610</t>
  </si>
  <si>
    <t>807 01 05 02 00 00 0000 500</t>
  </si>
  <si>
    <t>807 01 05 02 01 00 0000 510</t>
  </si>
  <si>
    <t>807 01 05 02 01 05 0000 510</t>
  </si>
  <si>
    <t>807 01 05 00 00 00 0000 600</t>
  </si>
  <si>
    <t>807 01 05 02 00 00 0000 600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</si>
  <si>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</si>
  <si>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</si>
  <si>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 кредитов от кредитных организаций бюджетами муниципальных районов в валюте Российской Федерации</t>
  </si>
  <si>
    <t>Погашение кредитов, предоставленных кредитными организациями  в валюте Российской Федерации</t>
  </si>
  <si>
    <t>Погашение  бюджетами муниципальных районов кредитов от кредитных организаций  в валюте Российской Федерации</t>
  </si>
  <si>
    <t>Изменение остатков средств на счетах по учету средств бюджета</t>
  </si>
  <si>
    <t>Увеличение остатков финансовых резервов 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</si>
  <si>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</si>
  <si>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</si>
  <si>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</si>
  <si>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</si>
  <si>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</si>
  <si>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</si>
  <si>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</si>
  <si>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 xml:space="preserve">Иные источники внутреннего финансирования дефицитов бюджетов 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</si>
  <si>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</si>
  <si>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</si>
  <si>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</si>
  <si>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</si>
  <si>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</si>
  <si>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</si>
  <si>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</si>
  <si>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из федерального бюджета  в валюте Российской Федерации</t>
  </si>
  <si>
    <t>(руб.)</t>
  </si>
  <si>
    <t>11602020020000140</t>
  </si>
  <si>
    <t>20249999107745150</t>
  </si>
  <si>
    <t>Прочие межбюджетные трансферты, передаваемые бюджетам сельских поселений (Предоставление средств за содействие развитию налогового потенциала)</t>
  </si>
  <si>
    <t>20249999109235150</t>
  </si>
  <si>
    <t>9134</t>
  </si>
  <si>
    <t>6300092350</t>
  </si>
  <si>
    <t>6400077450</t>
  </si>
  <si>
    <t>Суточные при командировках</t>
  </si>
  <si>
    <t>Командировочные расходы</t>
  </si>
  <si>
    <t>212</t>
  </si>
  <si>
    <t>247</t>
  </si>
  <si>
    <t>297</t>
  </si>
  <si>
    <t>Социальное обеспечение населения</t>
  </si>
  <si>
    <t>1003</t>
  </si>
  <si>
    <t>320</t>
  </si>
  <si>
    <t>Единовременная материальная помощь населению</t>
  </si>
  <si>
    <t xml:space="preserve">                                                  к Решению Казанцевского сельского Совета депутатов</t>
  </si>
  <si>
    <t xml:space="preserve">    к Решению Казанцевского сельского Совета депутатов</t>
  </si>
  <si>
    <t>к Решению Казанцевского сельского Совета депутатов</t>
  </si>
  <si>
    <t>Субвенция на реализацию Закона края от 23 апреля 2009 года №8-3170 "О наделении ОМС МО края государственными полномочиями по созданию и обеспечению деятельности Административных комиссий</t>
  </si>
  <si>
    <t>050</t>
  </si>
  <si>
    <t>180</t>
  </si>
  <si>
    <t>Невыясненные поступления, зачисляемые в бюджеты поселений</t>
  </si>
  <si>
    <t>0310080010</t>
  </si>
  <si>
    <t>Выполнение других обязательст государства</t>
  </si>
  <si>
    <t>Административные штрафы</t>
  </si>
  <si>
    <t>6400080240</t>
  </si>
  <si>
    <t xml:space="preserve">                                                                                                                                                                                    к Решению Казанцевского сельского Совета депутатов</t>
  </si>
  <si>
    <r>
      <rPr>
        <sz val="10"/>
        <color indexed="8"/>
        <rFont val="Times New Roman"/>
        <family val="1"/>
        <charset val="204"/>
      </rPr>
      <t xml:space="preserve">Мероприятие "Информирование жителей Казанцевского сельсовета о </t>
    </r>
    <r>
      <rPr>
        <b/>
        <sz val="10"/>
        <color indexed="8"/>
        <rFont val="Times New Roman"/>
        <family val="1"/>
        <charset val="204"/>
      </rPr>
      <t>п</t>
    </r>
    <r>
      <rPr>
        <sz val="10"/>
        <color indexed="8"/>
        <rFont val="Times New Roman"/>
        <family val="1"/>
        <charset val="204"/>
      </rPr>
      <t>орядке действий при угрозе возникновения террористических актов, посредством размещения информации в средствах массовой информации"</t>
    </r>
  </si>
  <si>
    <t>0300000000</t>
  </si>
  <si>
    <t>0310000000</t>
  </si>
  <si>
    <t>Мероприятие "Информирование жителей Казанцевского сельсовета о порядке действий при угрозе возникновения террористических актов, посредством размещения информации в средствах массовой информации"</t>
  </si>
  <si>
    <t xml:space="preserve">                                                  Приложение № 1</t>
  </si>
  <si>
    <t xml:space="preserve">                      Приложение № 3</t>
  </si>
  <si>
    <t xml:space="preserve">                    Приложение № 4</t>
  </si>
  <si>
    <t xml:space="preserve">                                 Приложение № 5</t>
  </si>
  <si>
    <t>Перечень главных администраторов доходов бюджета поселения за  2021 г.</t>
  </si>
  <si>
    <t>11607090100000140</t>
  </si>
  <si>
    <t xml:space="preserve">                                      от    "____" _________ 2022 г. № ____</t>
  </si>
  <si>
    <t xml:space="preserve">                                                         от____" _________ 2022 г. № ______</t>
  </si>
  <si>
    <t>852</t>
  </si>
  <si>
    <t>Государственная пошлина</t>
  </si>
  <si>
    <t>291</t>
  </si>
  <si>
    <t>Сборы</t>
  </si>
  <si>
    <t>293</t>
  </si>
  <si>
    <t>Иные выплаты текущего характера</t>
  </si>
  <si>
    <t xml:space="preserve">Муниципальная программа "Обеспечение пожарной безопасности на территории муниципального образования "Казанцевски сельсовет"  </t>
  </si>
  <si>
    <t xml:space="preserve">Муниципальная программа "Профилактика терроризма и экстремизма, а также минимизация и (или) ликвидация последствий проявления терроризма и экстремизма на территории МО "Казанцевский сельсовет" </t>
  </si>
  <si>
    <t xml:space="preserve">                                                  Приложение № 2</t>
  </si>
  <si>
    <r>
      <t xml:space="preserve">                                                                                        от   </t>
    </r>
    <r>
      <rPr>
        <u/>
        <sz val="12"/>
        <rFont val="Times New Roman"/>
        <family val="1"/>
        <charset val="204"/>
      </rPr>
      <t>"____"</t>
    </r>
    <r>
      <rPr>
        <sz val="12"/>
        <rFont val="Times New Roman"/>
        <family val="1"/>
        <charset val="204"/>
      </rPr>
      <t xml:space="preserve">  ____________ 2022 г. № ____</t>
    </r>
  </si>
  <si>
    <t xml:space="preserve">                                                  от "___"_________ 2022 г. №  _____</t>
  </si>
  <si>
    <t xml:space="preserve"> к Решению Казанцевского сельского Совета депутатов</t>
  </si>
  <si>
    <t xml:space="preserve">                                                                                                    от  "____" _____________  2022 г. № ______</t>
  </si>
  <si>
    <t xml:space="preserve">                                                                                                 от   "____" ________ 2022 г.  №  ____</t>
  </si>
  <si>
    <t xml:space="preserve">                                                                                                      к Решению Казанцевского сельского Совета депутатов </t>
  </si>
  <si>
    <t xml:space="preserve">                                               от "___" _____________  2022 г. №  ______</t>
  </si>
  <si>
    <t xml:space="preserve">                                                             к Решению Казанцевского сельского Совета депутатов</t>
  </si>
  <si>
    <t xml:space="preserve">                                                               Приложение № 7</t>
  </si>
  <si>
    <t>Административные штрафы, установленные законами субъектами Российской Федерации об административных правонарушениях, за нарушение муниципальных правовых актов</t>
  </si>
  <si>
    <t>Иные штрафы, неустойки,пени, уплаченные в соответствии с законом или договором в случае неисполнения или ненадлежащего исполнения обязательств перед муниципальным органом,(муниципальным казенным учреждением) сельского поселения</t>
  </si>
  <si>
    <t>11715030100000150</t>
  </si>
  <si>
    <t>Инициативные платежи, зачисляемые в бюджеты сельских поселений</t>
  </si>
  <si>
    <t>11801520100000150</t>
  </si>
  <si>
    <t>Перечисления из бюджетов сельских поселений по решениям о взыскании средств</t>
  </si>
  <si>
    <t>11802500100000150</t>
  </si>
  <si>
    <t>Поступления в бюджеты сельских поселений (перечисления из бюджетов сельских поселений) по урегулированию расчетов между бюджетами бюджетной системы Российской Федерации по распределенным доходам</t>
  </si>
  <si>
    <t>Прочие межбюджетные трансферты, передаваемые бюджетам сельских поселений (региональные выплаты и выплаты, обеспечивающие уровень зароботной платы работников бюджетной сферы не ниже размера минимальной зароботной платы (минимального размера оплата труда) в рамках непрограммных расходов администрации Шушенского района)</t>
  </si>
  <si>
    <t>20249999109179150</t>
  </si>
  <si>
    <t>Прочие межбюджетные трансферты, передаваемые бюджетам сельских поселений (Расходы на содержание автомобильных дорог общего пользования местного значения)</t>
  </si>
  <si>
    <t>Невыясненныет поступления, зачисляемые в бюджеты сельских поселений</t>
  </si>
  <si>
    <t>20249999107412150</t>
  </si>
  <si>
    <t>Прочие межбюджетные трансферты, передаваемые бюджетам сельских поселений (Расходы на обеспечение первичных мер пожарной безопасности в рамках отдельных мероприятий муниципальной программы Шушенского района "Защита населения и территорий Шушенского района от чрезвычайных ситуаций природного и техногенного характера")</t>
  </si>
  <si>
    <t>Источники внутреннего финансирования дефицита бюджета Казанцевского сельсовета на 01.04.2022 г.</t>
  </si>
  <si>
    <t>Доходы бюджета Казанцевского сельсовета за 1 квартал 2022 г.</t>
  </si>
  <si>
    <t>Утвержденные бюджетные назначения на 2022 г.</t>
  </si>
  <si>
    <t>Уточненные бюджетные назначения на 01.04.2022 г.</t>
  </si>
  <si>
    <t>Исполнено на 01.04.2022 г.</t>
  </si>
  <si>
    <t>Распределение бюджетных ассигнований по целевым статьям (муниципальным программам Казанцевского сельсовета и непрограмным направлениям деятельности), группам и подгруппам видов расходов, разделам, подразделам классификации расходов бюджета Казанцевского сельсовета за 1 квартал 2022 г.</t>
  </si>
  <si>
    <t>Ведомственная структура расходов бюджета Казанцевского сельсовета за 1 квартал 2022 г.</t>
  </si>
  <si>
    <t>Распределение расходов бюджета по разделам и подразделам классификации расходов бюджета за 1 квартал 2021 г.</t>
  </si>
  <si>
    <t xml:space="preserve">Отчет об использовании средств резервного фонда
на  01.04.2022
</t>
  </si>
  <si>
    <t>Утвержденные денежные средства по состоянию на 01.01.2022</t>
  </si>
  <si>
    <t>Кассовые расходы по состоянию на 01.04.2022</t>
  </si>
  <si>
    <t>Денежные средства на счете по состоянию на 01.04.2022</t>
  </si>
  <si>
    <t>14.1</t>
  </si>
  <si>
    <t>14.2.</t>
  </si>
  <si>
    <t>15.1</t>
  </si>
  <si>
    <t>16.2</t>
  </si>
  <si>
    <t>15.2</t>
  </si>
  <si>
    <t>Иные межбюджетные трансферты на содержание автомобильных дорог общего пользования местного значения</t>
  </si>
  <si>
    <t>16.3</t>
  </si>
  <si>
    <t>16.4</t>
  </si>
  <si>
    <t xml:space="preserve">                                                                                                                  Приложение № 6</t>
  </si>
  <si>
    <t>Муниципальная программа "Профилактика терроризма и экстремизма, а также минимизация и (или) ликвидация последствий проявления терроризма и экстремизма на территории муниципального образования Казанцевский сельсовет" на 2022 год и плановый период 2023-2024 годов"</t>
  </si>
  <si>
    <t>Муниципальная программа «Обеспечение пожарной безопасности на территории муниципального образования «Казанцевский сельсовет» на 2021-2023 гг."</t>
  </si>
  <si>
    <t>0110091790</t>
  </si>
  <si>
    <t>9179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</si>
</sst>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00"/>
    <numFmt numFmtId="165" formatCode="#,##0.0"/>
    <numFmt numFmtId="166" formatCode="0.0"/>
    <numFmt numFmtId="167" formatCode="#,##0_ ;[Red]\-#,##0\ "/>
    <numFmt numFmtId="168" formatCode="#,##0.0_ ;[Red]\-#,##0.0\ "/>
    <numFmt numFmtId="169" formatCode="#,##0.0000"/>
    <numFmt numFmtId="170" formatCode="#,##0.00_ ;[Red]\-#,##0.00\ "/>
  </numFmts>
  <fonts count="33" x14ac:knownFonts="1">
    <font>
      <sz val="10"/>
      <name val="Arial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0"/>
      <name val="Times New Roman Cyr"/>
      <charset val="204"/>
    </font>
    <font>
      <sz val="10"/>
      <color rgb="FF000000"/>
      <name val="Times New Roman"/>
      <family val="1"/>
      <charset val="204"/>
    </font>
    <font>
      <u/>
      <sz val="10"/>
      <name val="Times New Roman"/>
      <family val="1"/>
      <charset val="204"/>
    </font>
    <font>
      <i/>
      <u/>
      <sz val="10"/>
      <name val="Times New Roman Cyr"/>
      <charset val="204"/>
    </font>
    <font>
      <u/>
      <sz val="10"/>
      <color rgb="FF000000"/>
      <name val="Times New Roman"/>
      <family val="1"/>
      <charset val="204"/>
    </font>
    <font>
      <i/>
      <u/>
      <sz val="10"/>
      <color rgb="FF000000"/>
      <name val="Times New Roman"/>
      <family val="1"/>
      <charset val="204"/>
    </font>
    <font>
      <i/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Arial Cyr"/>
      <charset val="204"/>
    </font>
    <font>
      <i/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b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1" fillId="0" borderId="0"/>
    <xf numFmtId="0" fontId="27" fillId="0" borderId="0"/>
  </cellStyleXfs>
  <cellXfs count="32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/>
    <xf numFmtId="0" fontId="3" fillId="0" borderId="0" xfId="0" applyFont="1" applyAlignment="1">
      <alignment horizontal="center" vertical="top"/>
    </xf>
    <xf numFmtId="0" fontId="1" fillId="0" borderId="0" xfId="0" applyFont="1"/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164" fontId="3" fillId="0" borderId="0" xfId="0" applyNumberFormat="1" applyFont="1"/>
    <xf numFmtId="0" fontId="2" fillId="0" borderId="1" xfId="0" applyFont="1" applyBorder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wrapText="1"/>
    </xf>
    <xf numFmtId="4" fontId="3" fillId="0" borderId="0" xfId="0" applyNumberFormat="1" applyFont="1" applyFill="1"/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justify" wrapText="1"/>
    </xf>
    <xf numFmtId="49" fontId="3" fillId="0" borderId="1" xfId="0" applyNumberFormat="1" applyFont="1" applyBorder="1"/>
    <xf numFmtId="165" fontId="3" fillId="0" borderId="1" xfId="0" applyNumberFormat="1" applyFont="1" applyBorder="1"/>
    <xf numFmtId="165" fontId="3" fillId="0" borderId="1" xfId="0" applyNumberFormat="1" applyFont="1" applyBorder="1" applyAlignment="1">
      <alignment horizontal="right"/>
    </xf>
    <xf numFmtId="165" fontId="2" fillId="0" borderId="1" xfId="0" applyNumberFormat="1" applyFont="1" applyBorder="1"/>
    <xf numFmtId="165" fontId="2" fillId="0" borderId="0" xfId="0" applyNumberFormat="1" applyFont="1"/>
    <xf numFmtId="165" fontId="8" fillId="0" borderId="1" xfId="0" applyNumberFormat="1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vertical="top"/>
    </xf>
    <xf numFmtId="0" fontId="2" fillId="2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1" fillId="2" borderId="1" xfId="0" quotePrefix="1" applyFont="1" applyFill="1" applyBorder="1" applyAlignment="1">
      <alignment horizontal="left" vertical="top" wrapText="1"/>
    </xf>
    <xf numFmtId="49" fontId="11" fillId="2" borderId="1" xfId="0" applyNumberFormat="1" applyFont="1" applyFill="1" applyBorder="1" applyAlignment="1">
      <alignment wrapText="1"/>
    </xf>
    <xf numFmtId="49" fontId="12" fillId="2" borderId="1" xfId="0" applyNumberFormat="1" applyFont="1" applyFill="1" applyBorder="1" applyAlignment="1">
      <alignment horizontal="left" wrapText="1"/>
    </xf>
    <xf numFmtId="49" fontId="9" fillId="2" borderId="1" xfId="0" applyNumberFormat="1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/>
    </xf>
    <xf numFmtId="0" fontId="15" fillId="0" borderId="1" xfId="0" applyFont="1" applyBorder="1" applyAlignment="1">
      <alignment horizontal="left" vertical="top" wrapText="1"/>
    </xf>
    <xf numFmtId="0" fontId="18" fillId="2" borderId="1" xfId="0" quotePrefix="1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top" wrapText="1"/>
    </xf>
    <xf numFmtId="0" fontId="18" fillId="2" borderId="9" xfId="0" applyFont="1" applyFill="1" applyBorder="1" applyAlignment="1">
      <alignment horizontal="left" vertical="center" wrapText="1"/>
    </xf>
    <xf numFmtId="0" fontId="18" fillId="2" borderId="9" xfId="0" applyFont="1" applyFill="1" applyBorder="1" applyAlignment="1">
      <alignment horizontal="center" vertical="center" wrapText="1"/>
    </xf>
    <xf numFmtId="49" fontId="18" fillId="2" borderId="9" xfId="0" applyNumberFormat="1" applyFont="1" applyFill="1" applyBorder="1" applyAlignment="1">
      <alignment horizontal="center" vertical="center" wrapText="1"/>
    </xf>
    <xf numFmtId="49" fontId="18" fillId="0" borderId="9" xfId="0" applyNumberFormat="1" applyFont="1" applyBorder="1" applyAlignment="1">
      <alignment horizontal="center" vertical="top" wrapText="1"/>
    </xf>
    <xf numFmtId="49" fontId="16" fillId="0" borderId="1" xfId="0" applyNumberFormat="1" applyFont="1" applyBorder="1" applyAlignment="1">
      <alignment horizontal="center" vertical="top"/>
    </xf>
    <xf numFmtId="0" fontId="16" fillId="0" borderId="1" xfId="0" applyFont="1" applyBorder="1"/>
    <xf numFmtId="0" fontId="16" fillId="0" borderId="1" xfId="0" quotePrefix="1" applyFont="1" applyBorder="1"/>
    <xf numFmtId="0" fontId="16" fillId="0" borderId="1" xfId="0" applyFont="1" applyBorder="1" applyAlignment="1">
      <alignment wrapText="1"/>
    </xf>
    <xf numFmtId="0" fontId="17" fillId="0" borderId="1" xfId="0" applyFont="1" applyBorder="1"/>
    <xf numFmtId="49" fontId="16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wrapText="1"/>
    </xf>
    <xf numFmtId="0" fontId="20" fillId="2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wrapText="1"/>
    </xf>
    <xf numFmtId="165" fontId="3" fillId="0" borderId="0" xfId="0" applyNumberFormat="1" applyFont="1"/>
    <xf numFmtId="165" fontId="3" fillId="0" borderId="1" xfId="0" applyNumberFormat="1" applyFont="1" applyBorder="1" applyAlignment="1">
      <alignment vertical="top"/>
    </xf>
    <xf numFmtId="4" fontId="3" fillId="0" borderId="1" xfId="0" applyNumberFormat="1" applyFont="1" applyBorder="1"/>
    <xf numFmtId="164" fontId="25" fillId="0" borderId="0" xfId="0" applyNumberFormat="1" applyFont="1"/>
    <xf numFmtId="164" fontId="24" fillId="0" borderId="0" xfId="0" applyNumberFormat="1" applyFont="1"/>
    <xf numFmtId="0" fontId="26" fillId="2" borderId="1" xfId="0" applyFont="1" applyFill="1" applyBorder="1" applyAlignment="1">
      <alignment horizontal="left" wrapText="1"/>
    </xf>
    <xf numFmtId="165" fontId="3" fillId="2" borderId="1" xfId="0" applyNumberFormat="1" applyFont="1" applyFill="1" applyBorder="1" applyAlignment="1">
      <alignment vertical="top" wrapText="1"/>
    </xf>
    <xf numFmtId="165" fontId="3" fillId="2" borderId="1" xfId="0" applyNumberFormat="1" applyFont="1" applyFill="1" applyBorder="1" applyAlignment="1">
      <alignment horizontal="right" vertical="top" wrapText="1"/>
    </xf>
    <xf numFmtId="4" fontId="3" fillId="0" borderId="0" xfId="0" applyNumberFormat="1" applyFont="1" applyAlignment="1">
      <alignment wrapText="1"/>
    </xf>
    <xf numFmtId="4" fontId="23" fillId="0" borderId="0" xfId="0" applyNumberFormat="1" applyFont="1"/>
    <xf numFmtId="4" fontId="3" fillId="0" borderId="0" xfId="0" applyNumberFormat="1" applyFont="1"/>
    <xf numFmtId="4" fontId="3" fillId="0" borderId="1" xfId="0" applyNumberFormat="1" applyFont="1" applyBorder="1" applyAlignment="1">
      <alignment vertical="top"/>
    </xf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4" fontId="3" fillId="0" borderId="1" xfId="0" applyNumberFormat="1" applyFont="1" applyBorder="1" applyAlignment="1">
      <alignment horizontal="right"/>
    </xf>
    <xf numFmtId="4" fontId="8" fillId="0" borderId="0" xfId="0" applyNumberFormat="1" applyFont="1" applyAlignment="1">
      <alignment wrapText="1"/>
    </xf>
    <xf numFmtId="0" fontId="1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4" fontId="2" fillId="0" borderId="0" xfId="0" applyNumberFormat="1" applyFont="1"/>
    <xf numFmtId="168" fontId="3" fillId="2" borderId="1" xfId="0" applyNumberFormat="1" applyFont="1" applyFill="1" applyBorder="1"/>
    <xf numFmtId="168" fontId="3" fillId="2" borderId="1" xfId="0" applyNumberFormat="1" applyFont="1" applyFill="1" applyBorder="1" applyAlignment="1">
      <alignment horizontal="right"/>
    </xf>
    <xf numFmtId="0" fontId="29" fillId="3" borderId="1" xfId="0" applyFont="1" applyFill="1" applyBorder="1" applyAlignment="1">
      <alignment vertical="top" wrapText="1"/>
    </xf>
    <xf numFmtId="0" fontId="28" fillId="3" borderId="1" xfId="0" quotePrefix="1" applyFont="1" applyFill="1" applyBorder="1" applyAlignment="1">
      <alignment vertical="top" wrapText="1"/>
    </xf>
    <xf numFmtId="4" fontId="2" fillId="0" borderId="1" xfId="0" applyNumberFormat="1" applyFont="1" applyBorder="1" applyAlignment="1">
      <alignment horizontal="right" wrapText="1"/>
    </xf>
    <xf numFmtId="49" fontId="3" fillId="0" borderId="20" xfId="0" applyNumberFormat="1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/>
    </xf>
    <xf numFmtId="49" fontId="2" fillId="0" borderId="20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right" wrapText="1"/>
    </xf>
    <xf numFmtId="4" fontId="2" fillId="3" borderId="1" xfId="0" applyNumberFormat="1" applyFont="1" applyFill="1" applyBorder="1" applyAlignment="1">
      <alignment horizontal="right" wrapText="1"/>
    </xf>
    <xf numFmtId="4" fontId="3" fillId="3" borderId="1" xfId="0" applyNumberFormat="1" applyFont="1" applyFill="1" applyBorder="1" applyAlignment="1">
      <alignment horizontal="right" wrapText="1"/>
    </xf>
    <xf numFmtId="4" fontId="3" fillId="0" borderId="14" xfId="0" applyNumberFormat="1" applyFont="1" applyBorder="1" applyAlignment="1">
      <alignment horizontal="right" wrapText="1"/>
    </xf>
    <xf numFmtId="4" fontId="0" fillId="0" borderId="0" xfId="0" applyNumberFormat="1"/>
    <xf numFmtId="0" fontId="2" fillId="0" borderId="1" xfId="0" applyFont="1" applyBorder="1" applyAlignment="1">
      <alignment horizontal="center"/>
    </xf>
    <xf numFmtId="0" fontId="8" fillId="0" borderId="1" xfId="0" applyFont="1" applyBorder="1"/>
    <xf numFmtId="164" fontId="2" fillId="0" borderId="1" xfId="0" applyNumberFormat="1" applyFont="1" applyBorder="1" applyAlignment="1">
      <alignment horizontal="right"/>
    </xf>
    <xf numFmtId="0" fontId="0" fillId="0" borderId="1" xfId="0" applyBorder="1"/>
    <xf numFmtId="166" fontId="3" fillId="0" borderId="1" xfId="0" applyNumberFormat="1" applyFont="1" applyBorder="1" applyAlignment="1">
      <alignment vertical="top"/>
    </xf>
    <xf numFmtId="0" fontId="28" fillId="3" borderId="1" xfId="0" applyFont="1" applyFill="1" applyBorder="1" applyAlignment="1">
      <alignment wrapText="1"/>
    </xf>
    <xf numFmtId="0" fontId="28" fillId="3" borderId="1" xfId="0" applyFont="1" applyFill="1" applyBorder="1" applyAlignment="1">
      <alignment horizontal="left" wrapText="1"/>
    </xf>
    <xf numFmtId="49" fontId="28" fillId="3" borderId="1" xfId="0" applyNumberFormat="1" applyFont="1" applyFill="1" applyBorder="1" applyAlignment="1">
      <alignment horizontal="center"/>
    </xf>
    <xf numFmtId="166" fontId="3" fillId="0" borderId="1" xfId="0" applyNumberFormat="1" applyFont="1" applyBorder="1" applyAlignment="1">
      <alignment horizontal="right" vertical="top"/>
    </xf>
    <xf numFmtId="49" fontId="20" fillId="2" borderId="1" xfId="0" applyNumberFormat="1" applyFont="1" applyFill="1" applyBorder="1" applyAlignment="1">
      <alignment horizontal="left" wrapText="1"/>
    </xf>
    <xf numFmtId="165" fontId="3" fillId="3" borderId="1" xfId="0" applyNumberFormat="1" applyFont="1" applyFill="1" applyBorder="1" applyAlignment="1">
      <alignment horizontal="right"/>
    </xf>
    <xf numFmtId="0" fontId="28" fillId="3" borderId="1" xfId="0" quotePrefix="1" applyFont="1" applyFill="1" applyBorder="1" applyAlignment="1">
      <alignment wrapText="1"/>
    </xf>
    <xf numFmtId="49" fontId="3" fillId="0" borderId="1" xfId="0" applyNumberFormat="1" applyFont="1" applyBorder="1" applyAlignment="1">
      <alignment horizontal="center" vertical="top"/>
    </xf>
    <xf numFmtId="0" fontId="3" fillId="3" borderId="1" xfId="0" quotePrefix="1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wrapText="1"/>
    </xf>
    <xf numFmtId="168" fontId="2" fillId="2" borderId="1" xfId="0" applyNumberFormat="1" applyFont="1" applyFill="1" applyBorder="1" applyAlignment="1">
      <alignment horizontal="right"/>
    </xf>
    <xf numFmtId="0" fontId="29" fillId="0" borderId="17" xfId="0" applyFont="1" applyBorder="1" applyAlignment="1">
      <alignment horizontal="center" vertical="center" wrapText="1"/>
    </xf>
    <xf numFmtId="2" fontId="29" fillId="0" borderId="17" xfId="0" applyNumberFormat="1" applyFont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right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" fontId="2" fillId="2" borderId="12" xfId="0" applyNumberFormat="1" applyFont="1" applyFill="1" applyBorder="1" applyAlignment="1">
      <alignment horizontal="right" vertical="top" wrapText="1"/>
    </xf>
    <xf numFmtId="49" fontId="2" fillId="0" borderId="4" xfId="0" applyNumberFormat="1" applyFont="1" applyBorder="1" applyAlignment="1">
      <alignment horizontal="center"/>
    </xf>
    <xf numFmtId="0" fontId="1" fillId="0" borderId="0" xfId="0" applyFont="1" applyAlignment="1"/>
    <xf numFmtId="1" fontId="3" fillId="2" borderId="12" xfId="0" applyNumberFormat="1" applyFont="1" applyFill="1" applyBorder="1" applyAlignment="1">
      <alignment horizontal="right" vertical="top" wrapText="1"/>
    </xf>
    <xf numFmtId="169" fontId="8" fillId="0" borderId="0" xfId="0" applyNumberFormat="1" applyFont="1" applyAlignment="1">
      <alignment wrapText="1"/>
    </xf>
    <xf numFmtId="0" fontId="3" fillId="4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wrapText="1"/>
    </xf>
    <xf numFmtId="168" fontId="3" fillId="2" borderId="22" xfId="0" applyNumberFormat="1" applyFont="1" applyFill="1" applyBorder="1" applyAlignment="1">
      <alignment horizontal="center"/>
    </xf>
    <xf numFmtId="170" fontId="3" fillId="2" borderId="22" xfId="0" applyNumberFormat="1" applyFont="1" applyFill="1" applyBorder="1" applyAlignment="1">
      <alignment horizontal="center"/>
    </xf>
    <xf numFmtId="49" fontId="2" fillId="0" borderId="23" xfId="0" applyNumberFormat="1" applyFont="1" applyBorder="1" applyAlignment="1">
      <alignment horizontal="center" vertical="top"/>
    </xf>
    <xf numFmtId="49" fontId="2" fillId="0" borderId="24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4" fontId="31" fillId="0" borderId="13" xfId="0" applyNumberFormat="1" applyFont="1" applyBorder="1" applyAlignment="1">
      <alignment horizontal="center" vertical="center"/>
    </xf>
    <xf numFmtId="4" fontId="31" fillId="0" borderId="14" xfId="0" quotePrefix="1" applyNumberFormat="1" applyFont="1" applyBorder="1" applyAlignment="1">
      <alignment horizontal="center" vertical="center" wrapText="1"/>
    </xf>
    <xf numFmtId="4" fontId="31" fillId="0" borderId="15" xfId="0" quotePrefix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/>
    <xf numFmtId="0" fontId="1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7" fillId="0" borderId="1" xfId="0" quotePrefix="1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49" fontId="16" fillId="0" borderId="1" xfId="0" applyNumberFormat="1" applyFont="1" applyBorder="1"/>
    <xf numFmtId="165" fontId="2" fillId="0" borderId="17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0" fontId="19" fillId="0" borderId="1" xfId="0" quotePrefix="1" applyFont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quotePrefix="1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right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wrapText="1"/>
    </xf>
    <xf numFmtId="0" fontId="3" fillId="2" borderId="1" xfId="1" applyFont="1" applyFill="1" applyBorder="1" applyAlignment="1">
      <alignment horizontal="left" wrapText="1"/>
    </xf>
    <xf numFmtId="165" fontId="3" fillId="0" borderId="1" xfId="0" applyNumberFormat="1" applyFont="1" applyBorder="1" applyAlignment="1">
      <alignment horizontal="right" wrapText="1"/>
    </xf>
    <xf numFmtId="0" fontId="10" fillId="0" borderId="1" xfId="0" quotePrefix="1" applyFont="1" applyBorder="1" applyAlignment="1">
      <alignment horizontal="left" vertical="top" wrapText="1"/>
    </xf>
    <xf numFmtId="165" fontId="2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" fontId="18" fillId="0" borderId="9" xfId="0" applyNumberFormat="1" applyFont="1" applyBorder="1" applyAlignment="1">
      <alignment horizontal="right" vertical="top" wrapText="1"/>
    </xf>
    <xf numFmtId="1" fontId="18" fillId="0" borderId="10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 wrapText="1"/>
    </xf>
    <xf numFmtId="1" fontId="3" fillId="0" borderId="12" xfId="0" applyNumberFormat="1" applyFont="1" applyBorder="1" applyAlignment="1">
      <alignment horizontal="right" vertical="top" wrapText="1"/>
    </xf>
    <xf numFmtId="0" fontId="22" fillId="0" borderId="1" xfId="0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wrapText="1"/>
    </xf>
    <xf numFmtId="49" fontId="3" fillId="0" borderId="1" xfId="0" applyNumberFormat="1" applyFont="1" applyBorder="1" applyAlignment="1">
      <alignment vertical="top" wrapText="1"/>
    </xf>
    <xf numFmtId="2" fontId="3" fillId="0" borderId="1" xfId="0" applyNumberFormat="1" applyFont="1" applyBorder="1" applyAlignment="1">
      <alignment vertical="top" wrapText="1"/>
    </xf>
    <xf numFmtId="0" fontId="13" fillId="0" borderId="1" xfId="0" quotePrefix="1" applyFont="1" applyBorder="1" applyAlignment="1">
      <alignment horizontal="left" vertical="top" wrapText="1"/>
    </xf>
    <xf numFmtId="0" fontId="14" fillId="0" borderId="1" xfId="0" quotePrefix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4" fontId="18" fillId="0" borderId="1" xfId="0" applyNumberFormat="1" applyFont="1" applyBorder="1" applyAlignment="1">
      <alignment horizontal="right" vertical="top" wrapText="1"/>
    </xf>
    <xf numFmtId="4" fontId="8" fillId="0" borderId="1" xfId="0" applyNumberFormat="1" applyFont="1" applyBorder="1" applyAlignment="1">
      <alignment horizontal="right" vertical="top" wrapText="1"/>
    </xf>
    <xf numFmtId="0" fontId="10" fillId="0" borderId="14" xfId="0" applyFont="1" applyBorder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30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2" fillId="0" borderId="3" xfId="0" applyFont="1" applyBorder="1" applyAlignment="1">
      <alignment horizontal="center" vertical="top" wrapText="1"/>
    </xf>
    <xf numFmtId="1" fontId="3" fillId="0" borderId="10" xfId="0" applyNumberFormat="1" applyFont="1" applyBorder="1" applyAlignment="1">
      <alignment horizontal="right" wrapText="1"/>
    </xf>
    <xf numFmtId="1" fontId="3" fillId="0" borderId="12" xfId="0" applyNumberFormat="1" applyFont="1" applyBorder="1" applyAlignment="1">
      <alignment horizontal="right" wrapText="1"/>
    </xf>
    <xf numFmtId="0" fontId="2" fillId="0" borderId="18" xfId="0" applyFont="1" applyBorder="1" applyAlignment="1">
      <alignment horizontal="center" vertical="top" wrapText="1"/>
    </xf>
    <xf numFmtId="0" fontId="3" fillId="0" borderId="0" xfId="0" applyFont="1"/>
    <xf numFmtId="0" fontId="3" fillId="0" borderId="0" xfId="0" applyFont="1"/>
    <xf numFmtId="0" fontId="3" fillId="0" borderId="1" xfId="0" applyFont="1" applyBorder="1" applyAlignment="1">
      <alignment vertical="top" wrapText="1"/>
    </xf>
    <xf numFmtId="0" fontId="3" fillId="0" borderId="0" xfId="0" applyFont="1"/>
    <xf numFmtId="0" fontId="10" fillId="0" borderId="17" xfId="0" applyFont="1" applyBorder="1" applyAlignment="1">
      <alignment horizontal="left" vertical="top" wrapText="1"/>
    </xf>
    <xf numFmtId="0" fontId="10" fillId="0" borderId="17" xfId="0" quotePrefix="1" applyFont="1" applyBorder="1" applyAlignment="1">
      <alignment horizontal="center" vertical="top" wrapText="1"/>
    </xf>
    <xf numFmtId="49" fontId="16" fillId="0" borderId="17" xfId="0" applyNumberFormat="1" applyFont="1" applyBorder="1" applyAlignment="1">
      <alignment horizontal="center" vertical="top"/>
    </xf>
    <xf numFmtId="165" fontId="3" fillId="0" borderId="17" xfId="0" applyNumberFormat="1" applyFont="1" applyBorder="1" applyAlignment="1">
      <alignment vertical="top"/>
    </xf>
    <xf numFmtId="165" fontId="3" fillId="0" borderId="17" xfId="0" applyNumberFormat="1" applyFont="1" applyBorder="1" applyAlignment="1">
      <alignment horizontal="right" vertical="top" wrapText="1"/>
    </xf>
    <xf numFmtId="4" fontId="2" fillId="0" borderId="3" xfId="0" applyNumberFormat="1" applyFont="1" applyBorder="1"/>
    <xf numFmtId="1" fontId="3" fillId="2" borderId="4" xfId="0" applyNumberFormat="1" applyFont="1" applyFill="1" applyBorder="1" applyAlignment="1">
      <alignment horizontal="right" vertical="top" wrapText="1"/>
    </xf>
    <xf numFmtId="0" fontId="19" fillId="0" borderId="30" xfId="0" applyFont="1" applyBorder="1" applyAlignment="1">
      <alignment horizontal="center" vertical="top"/>
    </xf>
    <xf numFmtId="0" fontId="19" fillId="0" borderId="31" xfId="0" quotePrefix="1" applyFont="1" applyBorder="1" applyAlignment="1">
      <alignment horizontal="left" vertical="top" wrapText="1"/>
    </xf>
    <xf numFmtId="0" fontId="19" fillId="0" borderId="32" xfId="0" quotePrefix="1" applyFont="1" applyBorder="1" applyAlignment="1">
      <alignment horizontal="center" wrapText="1"/>
    </xf>
    <xf numFmtId="165" fontId="2" fillId="0" borderId="6" xfId="0" applyNumberFormat="1" applyFont="1" applyBorder="1" applyAlignment="1">
      <alignment horizontal="right" wrapText="1"/>
    </xf>
    <xf numFmtId="1" fontId="3" fillId="0" borderId="7" xfId="0" applyNumberFormat="1" applyFont="1" applyBorder="1" applyAlignment="1">
      <alignment horizontal="right" wrapText="1"/>
    </xf>
    <xf numFmtId="0" fontId="19" fillId="0" borderId="29" xfId="0" quotePrefix="1" applyFont="1" applyBorder="1" applyAlignment="1">
      <alignment horizontal="center" wrapText="1"/>
    </xf>
    <xf numFmtId="165" fontId="2" fillId="0" borderId="16" xfId="0" applyNumberFormat="1" applyFont="1" applyBorder="1" applyAlignment="1">
      <alignment horizontal="right" wrapText="1"/>
    </xf>
    <xf numFmtId="1" fontId="2" fillId="0" borderId="34" xfId="0" applyNumberFormat="1" applyFont="1" applyBorder="1" applyAlignment="1">
      <alignment horizontal="right" wrapText="1"/>
    </xf>
    <xf numFmtId="0" fontId="10" fillId="0" borderId="1" xfId="0" quotePrefix="1" applyFont="1" applyBorder="1" applyAlignment="1">
      <alignment horizontal="center" wrapText="1"/>
    </xf>
    <xf numFmtId="0" fontId="19" fillId="0" borderId="1" xfId="0" quotePrefix="1" applyFont="1" applyBorder="1" applyAlignment="1">
      <alignment horizontal="left" vertical="top" wrapText="1"/>
    </xf>
    <xf numFmtId="0" fontId="19" fillId="0" borderId="1" xfId="0" quotePrefix="1" applyFont="1" applyBorder="1" applyAlignment="1">
      <alignment horizontal="center" wrapText="1"/>
    </xf>
    <xf numFmtId="4" fontId="29" fillId="3" borderId="1" xfId="0" applyNumberFormat="1" applyFont="1" applyFill="1" applyBorder="1" applyAlignment="1">
      <alignment horizontal="center" wrapText="1"/>
    </xf>
    <xf numFmtId="49" fontId="28" fillId="3" borderId="1" xfId="0" applyNumberFormat="1" applyFont="1" applyFill="1" applyBorder="1" applyAlignment="1">
      <alignment horizontal="center" wrapText="1"/>
    </xf>
    <xf numFmtId="4" fontId="3" fillId="0" borderId="1" xfId="0" applyNumberFormat="1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0" fillId="0" borderId="8" xfId="0" applyFont="1" applyBorder="1" applyAlignment="1">
      <alignment horizontal="center" vertical="top"/>
    </xf>
    <xf numFmtId="0" fontId="10" fillId="0" borderId="9" xfId="0" quotePrefix="1" applyFont="1" applyBorder="1" applyAlignment="1">
      <alignment horizontal="left" vertical="top" wrapText="1"/>
    </xf>
    <xf numFmtId="0" fontId="10" fillId="0" borderId="9" xfId="0" quotePrefix="1" applyFont="1" applyBorder="1" applyAlignment="1">
      <alignment horizontal="center" wrapText="1"/>
    </xf>
    <xf numFmtId="4" fontId="3" fillId="0" borderId="9" xfId="0" applyNumberFormat="1" applyFont="1" applyBorder="1" applyAlignment="1">
      <alignment horizontal="right" wrapText="1"/>
    </xf>
    <xf numFmtId="0" fontId="10" fillId="0" borderId="11" xfId="0" applyFont="1" applyBorder="1" applyAlignment="1">
      <alignment horizontal="center" vertical="top"/>
    </xf>
    <xf numFmtId="0" fontId="10" fillId="0" borderId="13" xfId="0" applyFont="1" applyBorder="1" applyAlignment="1">
      <alignment horizontal="center" vertical="top"/>
    </xf>
    <xf numFmtId="0" fontId="10" fillId="0" borderId="14" xfId="0" quotePrefix="1" applyFont="1" applyBorder="1" applyAlignment="1">
      <alignment horizontal="center" wrapText="1"/>
    </xf>
    <xf numFmtId="1" fontId="3" fillId="0" borderId="15" xfId="0" applyNumberFormat="1" applyFont="1" applyBorder="1" applyAlignment="1">
      <alignment horizontal="right" wrapText="1"/>
    </xf>
    <xf numFmtId="0" fontId="3" fillId="0" borderId="1" xfId="0" applyFont="1" applyBorder="1" applyAlignment="1">
      <alignment horizontal="center"/>
    </xf>
    <xf numFmtId="0" fontId="3" fillId="0" borderId="0" xfId="0" applyFont="1"/>
    <xf numFmtId="0" fontId="5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/>
    <xf numFmtId="0" fontId="5" fillId="0" borderId="0" xfId="0" applyFont="1"/>
    <xf numFmtId="0" fontId="3" fillId="0" borderId="0" xfId="0" applyFont="1"/>
    <xf numFmtId="0" fontId="3" fillId="0" borderId="0" xfId="0" applyFont="1"/>
    <xf numFmtId="0" fontId="3" fillId="2" borderId="8" xfId="0" applyFont="1" applyFill="1" applyBorder="1" applyAlignment="1">
      <alignment horizontal="center" vertical="center"/>
    </xf>
    <xf numFmtId="0" fontId="29" fillId="3" borderId="1" xfId="0" applyFont="1" applyFill="1" applyBorder="1" applyAlignment="1">
      <alignment wrapText="1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3" fillId="0" borderId="0" xfId="0" applyFont="1"/>
    <xf numFmtId="170" fontId="2" fillId="2" borderId="1" xfId="0" applyNumberFormat="1" applyFont="1" applyFill="1" applyBorder="1" applyAlignment="1">
      <alignment horizontal="center"/>
    </xf>
    <xf numFmtId="4" fontId="2" fillId="0" borderId="16" xfId="0" applyNumberFormat="1" applyFont="1" applyBorder="1" applyAlignment="1">
      <alignment vertical="center"/>
    </xf>
    <xf numFmtId="1" fontId="2" fillId="0" borderId="34" xfId="0" applyNumberFormat="1" applyFont="1" applyBorder="1" applyAlignment="1">
      <alignment horizontal="right" vertical="top" wrapText="1"/>
    </xf>
    <xf numFmtId="0" fontId="3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top" wrapText="1"/>
    </xf>
    <xf numFmtId="0" fontId="10" fillId="0" borderId="14" xfId="0" quotePrefix="1" applyFont="1" applyBorder="1" applyAlignment="1">
      <alignment horizontal="center" vertical="top" wrapText="1"/>
    </xf>
    <xf numFmtId="49" fontId="3" fillId="0" borderId="14" xfId="0" applyNumberFormat="1" applyFont="1" applyBorder="1" applyAlignment="1">
      <alignment horizontal="center" vertical="top" wrapText="1"/>
    </xf>
    <xf numFmtId="4" fontId="3" fillId="0" borderId="14" xfId="0" applyNumberFormat="1" applyFont="1" applyBorder="1" applyAlignment="1">
      <alignment horizontal="right" vertical="top" wrapText="1"/>
    </xf>
    <xf numFmtId="1" fontId="3" fillId="0" borderId="15" xfId="0" applyNumberFormat="1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/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167" fontId="16" fillId="2" borderId="17" xfId="0" applyNumberFormat="1" applyFont="1" applyFill="1" applyBorder="1" applyAlignment="1">
      <alignment horizontal="center" vertical="center" wrapText="1"/>
    </xf>
    <xf numFmtId="167" fontId="16" fillId="2" borderId="18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/>
    <xf numFmtId="0" fontId="5" fillId="0" borderId="0" xfId="0" applyFont="1" applyAlignment="1">
      <alignment horizontal="center" wrapText="1"/>
    </xf>
    <xf numFmtId="0" fontId="3" fillId="0" borderId="17" xfId="0" applyFont="1" applyBorder="1" applyAlignment="1">
      <alignment horizontal="center" vertical="center" textRotation="90" wrapText="1"/>
    </xf>
    <xf numFmtId="0" fontId="3" fillId="0" borderId="18" xfId="0" applyFont="1" applyBorder="1" applyAlignment="1">
      <alignment horizontal="center" vertical="center" textRotation="90" wrapText="1"/>
    </xf>
    <xf numFmtId="49" fontId="3" fillId="0" borderId="19" xfId="0" applyNumberFormat="1" applyFont="1" applyBorder="1" applyAlignment="1">
      <alignment horizontal="center" wrapText="1"/>
    </xf>
    <xf numFmtId="49" fontId="3" fillId="0" borderId="21" xfId="0" applyNumberFormat="1" applyFont="1" applyBorder="1" applyAlignment="1">
      <alignment horizontal="center" wrapText="1"/>
    </xf>
    <xf numFmtId="49" fontId="3" fillId="0" borderId="22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167" fontId="3" fillId="0" borderId="17" xfId="0" applyNumberFormat="1" applyFont="1" applyBorder="1" applyAlignment="1">
      <alignment horizontal="center" vertical="center" wrapText="1"/>
    </xf>
    <xf numFmtId="167" fontId="3" fillId="0" borderId="18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>
      <alignment horizontal="center" wrapText="1"/>
    </xf>
    <xf numFmtId="49" fontId="3" fillId="0" borderId="1" xfId="0" quotePrefix="1" applyNumberFormat="1" applyFont="1" applyBorder="1" applyAlignment="1">
      <alignment horizontal="center" wrapText="1"/>
    </xf>
    <xf numFmtId="167" fontId="3" fillId="2" borderId="17" xfId="0" applyNumberFormat="1" applyFont="1" applyFill="1" applyBorder="1" applyAlignment="1">
      <alignment horizontal="center" vertical="center" wrapText="1"/>
    </xf>
    <xf numFmtId="167" fontId="3" fillId="2" borderId="18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17" fillId="0" borderId="25" xfId="0" applyFont="1" applyBorder="1" applyAlignment="1">
      <alignment horizontal="left"/>
    </xf>
    <xf numFmtId="0" fontId="17" fillId="0" borderId="26" xfId="0" applyFont="1" applyBorder="1" applyAlignment="1">
      <alignment horizontal="left"/>
    </xf>
    <xf numFmtId="0" fontId="17" fillId="0" borderId="27" xfId="0" applyFont="1" applyBorder="1" applyAlignment="1">
      <alignment horizontal="left"/>
    </xf>
    <xf numFmtId="0" fontId="2" fillId="0" borderId="35" xfId="0" applyFont="1" applyBorder="1" applyAlignment="1">
      <alignment horizontal="right" vertical="center"/>
    </xf>
    <xf numFmtId="0" fontId="2" fillId="0" borderId="36" xfId="0" applyFont="1" applyBorder="1" applyAlignment="1">
      <alignment horizontal="right" vertical="center"/>
    </xf>
    <xf numFmtId="0" fontId="2" fillId="0" borderId="37" xfId="0" applyFont="1" applyBorder="1" applyAlignment="1">
      <alignment horizontal="right" vertical="center"/>
    </xf>
    <xf numFmtId="0" fontId="5" fillId="0" borderId="0" xfId="0" applyFont="1"/>
    <xf numFmtId="0" fontId="3" fillId="0" borderId="0" xfId="0" applyFont="1"/>
    <xf numFmtId="0" fontId="19" fillId="0" borderId="33" xfId="0" quotePrefix="1" applyFont="1" applyBorder="1" applyAlignment="1">
      <alignment horizontal="left" vertical="top" wrapText="1"/>
    </xf>
    <xf numFmtId="0" fontId="19" fillId="0" borderId="28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/>
  </cellXfs>
  <cellStyles count="3">
    <cellStyle name="Обычный" xfId="0" builtinId="0"/>
    <cellStyle name="Обычный 2" xfId="2" xr:uid="{00000000-0005-0000-0000-000001000000}"/>
    <cellStyle name="Обычный_Приложение № 5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0"/>
  <sheetViews>
    <sheetView topLeftCell="A34" zoomScaleSheetLayoutView="89" workbookViewId="0">
      <selection activeCell="E37" sqref="E37:J37"/>
    </sheetView>
  </sheetViews>
  <sheetFormatPr defaultRowHeight="12.75" x14ac:dyDescent="0.2"/>
  <cols>
    <col min="1" max="1" width="5.7109375" style="1" customWidth="1"/>
    <col min="2" max="2" width="13.140625" style="1" customWidth="1"/>
    <col min="3" max="3" width="9.140625" style="1"/>
    <col min="4" max="4" width="9" style="1" customWidth="1"/>
    <col min="5" max="9" width="9.140625" style="1"/>
    <col min="10" max="10" width="85.140625" style="1" customWidth="1"/>
    <col min="11" max="16384" width="9.140625" style="1"/>
  </cols>
  <sheetData>
    <row r="1" spans="1:13" ht="15.75" x14ac:dyDescent="0.25">
      <c r="J1" s="147" t="s">
        <v>415</v>
      </c>
      <c r="K1" s="2"/>
      <c r="L1" s="2"/>
      <c r="M1" s="2"/>
    </row>
    <row r="2" spans="1:13" ht="15.75" x14ac:dyDescent="0.25">
      <c r="J2" s="148" t="s">
        <v>399</v>
      </c>
      <c r="K2" s="2"/>
      <c r="L2" s="2"/>
      <c r="M2" s="2"/>
    </row>
    <row r="3" spans="1:13" ht="15.75" x14ac:dyDescent="0.25">
      <c r="J3" s="248" t="s">
        <v>433</v>
      </c>
      <c r="K3" s="2"/>
      <c r="L3" s="2"/>
      <c r="M3" s="2"/>
    </row>
    <row r="4" spans="1:13" ht="8.25" customHeight="1" x14ac:dyDescent="0.2">
      <c r="J4" s="143"/>
    </row>
    <row r="5" spans="1:13" ht="27.75" customHeight="1" x14ac:dyDescent="0.3">
      <c r="A5" s="263" t="s">
        <v>419</v>
      </c>
      <c r="B5" s="263"/>
      <c r="C5" s="263"/>
      <c r="D5" s="263"/>
      <c r="E5" s="263"/>
      <c r="F5" s="263"/>
      <c r="G5" s="263"/>
      <c r="H5" s="263"/>
      <c r="I5" s="263"/>
      <c r="J5" s="263"/>
    </row>
    <row r="6" spans="1:13" ht="14.25" customHeight="1" x14ac:dyDescent="0.2">
      <c r="B6" s="264"/>
      <c r="C6" s="264"/>
      <c r="D6" s="264"/>
      <c r="E6" s="264"/>
      <c r="F6" s="264"/>
      <c r="G6" s="264"/>
      <c r="H6" s="264"/>
      <c r="I6" s="264"/>
      <c r="J6" s="264"/>
    </row>
    <row r="7" spans="1:13" ht="17.25" customHeight="1" x14ac:dyDescent="0.2"/>
    <row r="8" spans="1:13" ht="43.5" customHeight="1" x14ac:dyDescent="0.2">
      <c r="A8" s="262" t="s">
        <v>51</v>
      </c>
      <c r="B8" s="262" t="s">
        <v>3</v>
      </c>
      <c r="C8" s="292" t="s">
        <v>0</v>
      </c>
      <c r="D8" s="292"/>
      <c r="E8" s="272" t="s">
        <v>2</v>
      </c>
      <c r="F8" s="272"/>
      <c r="G8" s="272"/>
      <c r="H8" s="272"/>
      <c r="I8" s="272"/>
      <c r="J8" s="272"/>
    </row>
    <row r="9" spans="1:13" x14ac:dyDescent="0.2">
      <c r="A9" s="103"/>
      <c r="B9" s="317">
        <v>1</v>
      </c>
      <c r="C9" s="318">
        <v>2</v>
      </c>
      <c r="D9" s="318"/>
      <c r="E9" s="273">
        <v>3</v>
      </c>
      <c r="F9" s="273"/>
      <c r="G9" s="273"/>
      <c r="H9" s="273"/>
      <c r="I9" s="273"/>
      <c r="J9" s="273"/>
    </row>
    <row r="10" spans="1:13" ht="15" customHeight="1" x14ac:dyDescent="0.2">
      <c r="A10" s="319" t="s">
        <v>8</v>
      </c>
      <c r="B10" s="319"/>
      <c r="C10" s="319"/>
      <c r="D10" s="319"/>
      <c r="E10" s="319"/>
      <c r="F10" s="319"/>
      <c r="G10" s="319"/>
      <c r="H10" s="319"/>
      <c r="I10" s="319"/>
      <c r="J10" s="319"/>
    </row>
    <row r="11" spans="1:13" ht="39" customHeight="1" x14ac:dyDescent="0.2">
      <c r="A11" s="260">
        <v>1</v>
      </c>
      <c r="B11" s="260">
        <v>807</v>
      </c>
      <c r="C11" s="265" t="s">
        <v>9</v>
      </c>
      <c r="D11" s="265"/>
      <c r="E11" s="269" t="s">
        <v>166</v>
      </c>
      <c r="F11" s="269"/>
      <c r="G11" s="269"/>
      <c r="H11" s="269"/>
      <c r="I11" s="269"/>
      <c r="J11" s="269"/>
    </row>
    <row r="12" spans="1:13" ht="30" customHeight="1" x14ac:dyDescent="0.2">
      <c r="A12" s="260">
        <v>2</v>
      </c>
      <c r="B12" s="260">
        <v>807</v>
      </c>
      <c r="C12" s="265" t="s">
        <v>82</v>
      </c>
      <c r="D12" s="265"/>
      <c r="E12" s="269" t="s">
        <v>83</v>
      </c>
      <c r="F12" s="269"/>
      <c r="G12" s="269"/>
      <c r="H12" s="269"/>
      <c r="I12" s="269"/>
      <c r="J12" s="269"/>
    </row>
    <row r="13" spans="1:13" ht="28.5" customHeight="1" x14ac:dyDescent="0.2">
      <c r="A13" s="260">
        <v>3</v>
      </c>
      <c r="B13" s="260">
        <v>807</v>
      </c>
      <c r="C13" s="265" t="s">
        <v>4</v>
      </c>
      <c r="D13" s="265"/>
      <c r="E13" s="269" t="s">
        <v>84</v>
      </c>
      <c r="F13" s="269"/>
      <c r="G13" s="269"/>
      <c r="H13" s="269"/>
      <c r="I13" s="269"/>
      <c r="J13" s="269"/>
    </row>
    <row r="14" spans="1:13" ht="28.5" customHeight="1" x14ac:dyDescent="0.2">
      <c r="A14" s="260">
        <v>4</v>
      </c>
      <c r="B14" s="260">
        <v>807</v>
      </c>
      <c r="C14" s="265" t="s">
        <v>5</v>
      </c>
      <c r="D14" s="265"/>
      <c r="E14" s="269" t="s">
        <v>85</v>
      </c>
      <c r="F14" s="269"/>
      <c r="G14" s="269"/>
      <c r="H14" s="269"/>
      <c r="I14" s="269"/>
      <c r="J14" s="269"/>
    </row>
    <row r="15" spans="1:13" ht="21.75" customHeight="1" x14ac:dyDescent="0.2">
      <c r="A15" s="260">
        <v>5</v>
      </c>
      <c r="B15" s="260">
        <v>807</v>
      </c>
      <c r="C15" s="265" t="s">
        <v>268</v>
      </c>
      <c r="D15" s="265"/>
      <c r="E15" s="266" t="s">
        <v>269</v>
      </c>
      <c r="F15" s="266"/>
      <c r="G15" s="266"/>
      <c r="H15" s="266"/>
      <c r="I15" s="266"/>
      <c r="J15" s="266"/>
    </row>
    <row r="16" spans="1:13" ht="33.75" customHeight="1" x14ac:dyDescent="0.2">
      <c r="A16" s="260">
        <v>6</v>
      </c>
      <c r="B16" s="260">
        <v>807</v>
      </c>
      <c r="C16" s="265" t="s">
        <v>60</v>
      </c>
      <c r="D16" s="265"/>
      <c r="E16" s="266" t="s">
        <v>86</v>
      </c>
      <c r="F16" s="266"/>
      <c r="G16" s="266"/>
      <c r="H16" s="266"/>
      <c r="I16" s="266"/>
      <c r="J16" s="266"/>
    </row>
    <row r="17" spans="1:10" ht="43.5" customHeight="1" x14ac:dyDescent="0.2">
      <c r="A17" s="260">
        <v>7</v>
      </c>
      <c r="B17" s="260">
        <v>807</v>
      </c>
      <c r="C17" s="265" t="s">
        <v>59</v>
      </c>
      <c r="D17" s="272"/>
      <c r="E17" s="268" t="s">
        <v>87</v>
      </c>
      <c r="F17" s="268"/>
      <c r="G17" s="268"/>
      <c r="H17" s="268"/>
      <c r="I17" s="268"/>
      <c r="J17" s="268"/>
    </row>
    <row r="18" spans="1:10" ht="17.25" customHeight="1" x14ac:dyDescent="0.2">
      <c r="A18" s="260">
        <v>8</v>
      </c>
      <c r="B18" s="260">
        <v>807</v>
      </c>
      <c r="C18" s="265" t="s">
        <v>383</v>
      </c>
      <c r="D18" s="265"/>
      <c r="E18" s="268" t="s">
        <v>441</v>
      </c>
      <c r="F18" s="268"/>
      <c r="G18" s="268"/>
      <c r="H18" s="268"/>
      <c r="I18" s="268"/>
      <c r="J18" s="268"/>
    </row>
    <row r="19" spans="1:10" ht="18" customHeight="1" x14ac:dyDescent="0.2">
      <c r="A19" s="260">
        <v>9</v>
      </c>
      <c r="B19" s="260">
        <v>807</v>
      </c>
      <c r="C19" s="265" t="s">
        <v>420</v>
      </c>
      <c r="D19" s="265"/>
      <c r="E19" s="268" t="s">
        <v>442</v>
      </c>
      <c r="F19" s="268"/>
      <c r="G19" s="268"/>
      <c r="H19" s="268"/>
      <c r="I19" s="268"/>
      <c r="J19" s="268"/>
    </row>
    <row r="20" spans="1:10" ht="19.5" customHeight="1" x14ac:dyDescent="0.2">
      <c r="A20" s="260">
        <v>10</v>
      </c>
      <c r="B20" s="260">
        <v>807</v>
      </c>
      <c r="C20" s="265" t="s">
        <v>7</v>
      </c>
      <c r="D20" s="265"/>
      <c r="E20" s="271" t="s">
        <v>88</v>
      </c>
      <c r="F20" s="271"/>
      <c r="G20" s="271"/>
      <c r="H20" s="271"/>
      <c r="I20" s="271"/>
      <c r="J20" s="271"/>
    </row>
    <row r="21" spans="1:10" ht="18" customHeight="1" x14ac:dyDescent="0.2">
      <c r="A21" s="260">
        <v>11</v>
      </c>
      <c r="B21" s="260">
        <v>807</v>
      </c>
      <c r="C21" s="265" t="s">
        <v>443</v>
      </c>
      <c r="D21" s="265"/>
      <c r="E21" s="271" t="s">
        <v>444</v>
      </c>
      <c r="F21" s="271"/>
      <c r="G21" s="271"/>
      <c r="H21" s="271"/>
      <c r="I21" s="271"/>
      <c r="J21" s="271"/>
    </row>
    <row r="22" spans="1:10" ht="16.5" customHeight="1" x14ac:dyDescent="0.2">
      <c r="A22" s="260">
        <v>12</v>
      </c>
      <c r="B22" s="260">
        <v>807</v>
      </c>
      <c r="C22" s="265" t="s">
        <v>445</v>
      </c>
      <c r="D22" s="265"/>
      <c r="E22" s="271" t="s">
        <v>446</v>
      </c>
      <c r="F22" s="271"/>
      <c r="G22" s="271"/>
      <c r="H22" s="271"/>
      <c r="I22" s="271"/>
      <c r="J22" s="271"/>
    </row>
    <row r="23" spans="1:10" ht="27.75" customHeight="1" x14ac:dyDescent="0.2">
      <c r="A23" s="260">
        <v>13</v>
      </c>
      <c r="B23" s="260">
        <v>807</v>
      </c>
      <c r="C23" s="265" t="s">
        <v>447</v>
      </c>
      <c r="D23" s="265"/>
      <c r="E23" s="268" t="s">
        <v>448</v>
      </c>
      <c r="F23" s="268"/>
      <c r="G23" s="268"/>
      <c r="H23" s="268"/>
      <c r="I23" s="268"/>
      <c r="J23" s="268"/>
    </row>
    <row r="24" spans="1:10" ht="56.25" customHeight="1" x14ac:dyDescent="0.2">
      <c r="A24" s="260">
        <v>14</v>
      </c>
      <c r="B24" s="260">
        <v>807</v>
      </c>
      <c r="C24" s="267" t="s">
        <v>246</v>
      </c>
      <c r="D24" s="267"/>
      <c r="E24" s="268" t="s">
        <v>293</v>
      </c>
      <c r="F24" s="268"/>
      <c r="G24" s="268"/>
      <c r="H24" s="268"/>
      <c r="I24" s="268"/>
      <c r="J24" s="268"/>
    </row>
    <row r="25" spans="1:10" ht="68.25" customHeight="1" x14ac:dyDescent="0.2">
      <c r="A25" s="260">
        <v>15</v>
      </c>
      <c r="B25" s="260">
        <v>807</v>
      </c>
      <c r="C25" s="267" t="s">
        <v>247</v>
      </c>
      <c r="D25" s="267"/>
      <c r="E25" s="268" t="s">
        <v>294</v>
      </c>
      <c r="F25" s="268"/>
      <c r="G25" s="268"/>
      <c r="H25" s="268"/>
      <c r="I25" s="268"/>
      <c r="J25" s="268"/>
    </row>
    <row r="26" spans="1:10" ht="17.25" customHeight="1" x14ac:dyDescent="0.2">
      <c r="A26" s="260">
        <v>16</v>
      </c>
      <c r="B26" s="260">
        <v>807</v>
      </c>
      <c r="C26" s="267" t="s">
        <v>248</v>
      </c>
      <c r="D26" s="267"/>
      <c r="E26" s="268" t="s">
        <v>295</v>
      </c>
      <c r="F26" s="268"/>
      <c r="G26" s="268"/>
      <c r="H26" s="268"/>
      <c r="I26" s="268"/>
      <c r="J26" s="268"/>
    </row>
    <row r="27" spans="1:10" ht="45" customHeight="1" x14ac:dyDescent="0.2">
      <c r="A27" s="260">
        <v>17</v>
      </c>
      <c r="B27" s="260">
        <v>807</v>
      </c>
      <c r="C27" s="267" t="s">
        <v>249</v>
      </c>
      <c r="D27" s="267"/>
      <c r="E27" s="269" t="s">
        <v>296</v>
      </c>
      <c r="F27" s="269"/>
      <c r="G27" s="269"/>
      <c r="H27" s="269"/>
      <c r="I27" s="269"/>
      <c r="J27" s="269"/>
    </row>
    <row r="28" spans="1:10" ht="53.25" customHeight="1" x14ac:dyDescent="0.2">
      <c r="A28" s="260">
        <v>18</v>
      </c>
      <c r="B28" s="260">
        <v>807</v>
      </c>
      <c r="C28" s="267" t="s">
        <v>250</v>
      </c>
      <c r="D28" s="267"/>
      <c r="E28" s="269" t="s">
        <v>297</v>
      </c>
      <c r="F28" s="269"/>
      <c r="G28" s="269"/>
      <c r="H28" s="269"/>
      <c r="I28" s="269"/>
      <c r="J28" s="269"/>
    </row>
    <row r="29" spans="1:10" ht="15" customHeight="1" x14ac:dyDescent="0.2">
      <c r="A29" s="260">
        <v>19</v>
      </c>
      <c r="B29" s="260">
        <v>807</v>
      </c>
      <c r="C29" s="265" t="s">
        <v>251</v>
      </c>
      <c r="D29" s="265"/>
      <c r="E29" s="269" t="s">
        <v>50</v>
      </c>
      <c r="F29" s="269"/>
      <c r="G29" s="269"/>
      <c r="H29" s="269"/>
      <c r="I29" s="269"/>
      <c r="J29" s="269"/>
    </row>
    <row r="30" spans="1:10" ht="20.25" customHeight="1" x14ac:dyDescent="0.2">
      <c r="A30" s="260">
        <v>20</v>
      </c>
      <c r="B30" s="260">
        <v>807</v>
      </c>
      <c r="C30" s="265" t="s">
        <v>252</v>
      </c>
      <c r="D30" s="265"/>
      <c r="E30" s="266" t="s">
        <v>203</v>
      </c>
      <c r="F30" s="270"/>
      <c r="G30" s="270"/>
      <c r="H30" s="270"/>
      <c r="I30" s="270"/>
      <c r="J30" s="270"/>
    </row>
    <row r="31" spans="1:10" ht="16.5" customHeight="1" x14ac:dyDescent="0.2">
      <c r="A31" s="260">
        <v>21</v>
      </c>
      <c r="B31" s="260">
        <v>807</v>
      </c>
      <c r="C31" s="265" t="s">
        <v>253</v>
      </c>
      <c r="D31" s="265"/>
      <c r="E31" s="266" t="s">
        <v>204</v>
      </c>
      <c r="F31" s="270"/>
      <c r="G31" s="270"/>
      <c r="H31" s="270"/>
      <c r="I31" s="270"/>
      <c r="J31" s="270"/>
    </row>
    <row r="32" spans="1:10" ht="43.5" customHeight="1" x14ac:dyDescent="0.2">
      <c r="A32" s="260">
        <v>22</v>
      </c>
      <c r="B32" s="260">
        <v>807</v>
      </c>
      <c r="C32" s="265" t="s">
        <v>298</v>
      </c>
      <c r="D32" s="265"/>
      <c r="E32" s="266" t="s">
        <v>299</v>
      </c>
      <c r="F32" s="266"/>
      <c r="G32" s="266"/>
      <c r="H32" s="266"/>
      <c r="I32" s="266"/>
      <c r="J32" s="266"/>
    </row>
    <row r="33" spans="1:10" ht="40.5" customHeight="1" x14ac:dyDescent="0.2">
      <c r="A33" s="260">
        <v>23</v>
      </c>
      <c r="B33" s="260">
        <v>807</v>
      </c>
      <c r="C33" s="265" t="s">
        <v>254</v>
      </c>
      <c r="D33" s="265"/>
      <c r="E33" s="266" t="s">
        <v>300</v>
      </c>
      <c r="F33" s="266"/>
      <c r="G33" s="266"/>
      <c r="H33" s="266"/>
      <c r="I33" s="266"/>
      <c r="J33" s="266"/>
    </row>
    <row r="34" spans="1:10" ht="40.5" customHeight="1" x14ac:dyDescent="0.2">
      <c r="A34" s="260">
        <v>24</v>
      </c>
      <c r="B34" s="260">
        <v>807</v>
      </c>
      <c r="C34" s="265" t="s">
        <v>256</v>
      </c>
      <c r="D34" s="265"/>
      <c r="E34" s="266" t="s">
        <v>301</v>
      </c>
      <c r="F34" s="266"/>
      <c r="G34" s="266"/>
      <c r="H34" s="266"/>
      <c r="I34" s="266"/>
      <c r="J34" s="266"/>
    </row>
    <row r="35" spans="1:10" ht="36.75" customHeight="1" x14ac:dyDescent="0.2">
      <c r="A35" s="260">
        <v>25</v>
      </c>
      <c r="B35" s="260">
        <v>807</v>
      </c>
      <c r="C35" s="265" t="s">
        <v>255</v>
      </c>
      <c r="D35" s="265"/>
      <c r="E35" s="266" t="s">
        <v>302</v>
      </c>
      <c r="F35" s="266"/>
      <c r="G35" s="266"/>
      <c r="H35" s="266"/>
      <c r="I35" s="266"/>
      <c r="J35" s="266"/>
    </row>
    <row r="36" spans="1:10" ht="15.75" customHeight="1" x14ac:dyDescent="0.2">
      <c r="A36" s="260">
        <v>26</v>
      </c>
      <c r="B36" s="260">
        <v>807</v>
      </c>
      <c r="C36" s="273" t="s">
        <v>384</v>
      </c>
      <c r="D36" s="273"/>
      <c r="E36" s="261" t="s">
        <v>385</v>
      </c>
      <c r="F36" s="261"/>
      <c r="G36" s="261"/>
      <c r="H36" s="261"/>
      <c r="I36" s="261"/>
      <c r="J36" s="261"/>
    </row>
    <row r="37" spans="1:10" ht="40.5" customHeight="1" x14ac:dyDescent="0.2">
      <c r="A37" s="260">
        <v>27</v>
      </c>
      <c r="B37" s="260">
        <v>807</v>
      </c>
      <c r="C37" s="265" t="s">
        <v>386</v>
      </c>
      <c r="D37" s="265"/>
      <c r="E37" s="274" t="s">
        <v>449</v>
      </c>
      <c r="F37" s="316"/>
      <c r="G37" s="316"/>
      <c r="H37" s="316"/>
      <c r="I37" s="316"/>
      <c r="J37" s="316"/>
    </row>
    <row r="38" spans="1:10" ht="28.5" customHeight="1" x14ac:dyDescent="0.2">
      <c r="A38" s="260">
        <v>28</v>
      </c>
      <c r="B38" s="260">
        <v>807</v>
      </c>
      <c r="C38" s="265" t="s">
        <v>450</v>
      </c>
      <c r="D38" s="265"/>
      <c r="E38" s="274" t="s">
        <v>451</v>
      </c>
      <c r="F38" s="316"/>
      <c r="G38" s="316"/>
      <c r="H38" s="316"/>
      <c r="I38" s="316"/>
      <c r="J38" s="316"/>
    </row>
    <row r="39" spans="1:10" x14ac:dyDescent="0.2">
      <c r="A39" s="260">
        <v>29</v>
      </c>
      <c r="B39" s="260">
        <v>807</v>
      </c>
      <c r="C39" s="265" t="s">
        <v>6</v>
      </c>
      <c r="D39" s="265"/>
      <c r="E39" s="268" t="s">
        <v>452</v>
      </c>
      <c r="F39" s="268"/>
      <c r="G39" s="268"/>
      <c r="H39" s="268"/>
      <c r="I39" s="268"/>
      <c r="J39" s="268"/>
    </row>
    <row r="40" spans="1:10" ht="44.25" customHeight="1" x14ac:dyDescent="0.2">
      <c r="A40" s="260">
        <v>30</v>
      </c>
      <c r="B40" s="260">
        <v>807</v>
      </c>
      <c r="C40" s="265" t="s">
        <v>453</v>
      </c>
      <c r="D40" s="265"/>
      <c r="E40" s="268" t="s">
        <v>454</v>
      </c>
      <c r="F40" s="268"/>
      <c r="G40" s="268"/>
      <c r="H40" s="268"/>
      <c r="I40" s="268"/>
      <c r="J40" s="268"/>
    </row>
  </sheetData>
  <mergeCells count="66">
    <mergeCell ref="C39:D39"/>
    <mergeCell ref="E39:J39"/>
    <mergeCell ref="C40:D40"/>
    <mergeCell ref="E40:J40"/>
    <mergeCell ref="C36:D36"/>
    <mergeCell ref="C37:D37"/>
    <mergeCell ref="E37:J37"/>
    <mergeCell ref="C38:D38"/>
    <mergeCell ref="E38:J38"/>
    <mergeCell ref="C35:D35"/>
    <mergeCell ref="E35:J35"/>
    <mergeCell ref="C30:D30"/>
    <mergeCell ref="E30:J30"/>
    <mergeCell ref="C29:D29"/>
    <mergeCell ref="E29:J29"/>
    <mergeCell ref="C31:D31"/>
    <mergeCell ref="E31:J31"/>
    <mergeCell ref="C32:D32"/>
    <mergeCell ref="E32:J32"/>
    <mergeCell ref="C33:D33"/>
    <mergeCell ref="C34:D34"/>
    <mergeCell ref="E34:J34"/>
    <mergeCell ref="E33:J33"/>
    <mergeCell ref="C21:D21"/>
    <mergeCell ref="E21:J21"/>
    <mergeCell ref="C16:D16"/>
    <mergeCell ref="E16:J16"/>
    <mergeCell ref="C15:D15"/>
    <mergeCell ref="E15:J15"/>
    <mergeCell ref="C12:D12"/>
    <mergeCell ref="E12:J12"/>
    <mergeCell ref="C13:D13"/>
    <mergeCell ref="E13:J13"/>
    <mergeCell ref="C20:D20"/>
    <mergeCell ref="E20:J20"/>
    <mergeCell ref="C14:D14"/>
    <mergeCell ref="C19:D19"/>
    <mergeCell ref="E19:J19"/>
    <mergeCell ref="C17:D17"/>
    <mergeCell ref="E17:J17"/>
    <mergeCell ref="C18:D18"/>
    <mergeCell ref="E18:J18"/>
    <mergeCell ref="E14:J14"/>
    <mergeCell ref="C28:D28"/>
    <mergeCell ref="E28:J28"/>
    <mergeCell ref="C22:D22"/>
    <mergeCell ref="E22:J22"/>
    <mergeCell ref="C23:D23"/>
    <mergeCell ref="E23:J23"/>
    <mergeCell ref="C24:D24"/>
    <mergeCell ref="E24:J24"/>
    <mergeCell ref="C27:D27"/>
    <mergeCell ref="E27:J27"/>
    <mergeCell ref="C25:D25"/>
    <mergeCell ref="E25:J25"/>
    <mergeCell ref="C26:D26"/>
    <mergeCell ref="E26:J26"/>
    <mergeCell ref="C11:D11"/>
    <mergeCell ref="E11:J11"/>
    <mergeCell ref="A5:J5"/>
    <mergeCell ref="C8:D8"/>
    <mergeCell ref="E8:J8"/>
    <mergeCell ref="A10:J10"/>
    <mergeCell ref="B6:J6"/>
    <mergeCell ref="C9:D9"/>
    <mergeCell ref="E9:J9"/>
  </mergeCells>
  <pageMargins left="0.70866141732283472" right="0.39370078740157483" top="0.31496062992125984" bottom="0.35433070866141736" header="0.19685039370078741" footer="0.19685039370078741"/>
  <pageSetup paperSize="9" scale="8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6"/>
  <sheetViews>
    <sheetView view="pageBreakPreview" topLeftCell="J4" zoomScaleSheetLayoutView="100" workbookViewId="0">
      <selection activeCell="M16" sqref="M16"/>
    </sheetView>
  </sheetViews>
  <sheetFormatPr defaultRowHeight="12.75" x14ac:dyDescent="0.2"/>
  <cols>
    <col min="1" max="1" width="4.28515625" style="1" hidden="1" customWidth="1"/>
    <col min="2" max="2" width="5.42578125" style="1" hidden="1" customWidth="1"/>
    <col min="3" max="3" width="4.28515625" style="1" hidden="1" customWidth="1"/>
    <col min="4" max="4" width="5" style="1" hidden="1" customWidth="1"/>
    <col min="5" max="5" width="4.5703125" style="1" hidden="1" customWidth="1"/>
    <col min="6" max="6" width="5.5703125" style="1" hidden="1" customWidth="1"/>
    <col min="7" max="7" width="4.5703125" style="1" hidden="1" customWidth="1"/>
    <col min="8" max="8" width="7" style="1" hidden="1" customWidth="1"/>
    <col min="9" max="9" width="0" style="1" hidden="1" customWidth="1"/>
    <col min="10" max="10" width="6.85546875" style="1" customWidth="1"/>
    <col min="11" max="11" width="25.85546875" style="1" customWidth="1"/>
    <col min="12" max="12" width="68.5703125" style="1" customWidth="1"/>
    <col min="13" max="13" width="15.42578125" style="1" customWidth="1"/>
    <col min="14" max="14" width="9.140625" style="1"/>
    <col min="15" max="15" width="10.85546875" style="1" bestFit="1" customWidth="1"/>
    <col min="16" max="16" width="10" style="1" bestFit="1" customWidth="1"/>
    <col min="17" max="17" width="11.42578125" style="1" customWidth="1"/>
    <col min="18" max="16384" width="9.140625" style="1"/>
  </cols>
  <sheetData>
    <row r="1" spans="1:17" ht="15.75" x14ac:dyDescent="0.25">
      <c r="E1" s="16"/>
      <c r="F1" s="9"/>
      <c r="G1" s="9"/>
      <c r="H1" s="9"/>
      <c r="I1" s="282" t="s">
        <v>431</v>
      </c>
      <c r="J1" s="282"/>
      <c r="K1" s="282"/>
      <c r="L1" s="283"/>
      <c r="M1" s="283"/>
    </row>
    <row r="2" spans="1:17" ht="15.75" x14ac:dyDescent="0.25">
      <c r="E2" s="284" t="s">
        <v>400</v>
      </c>
      <c r="F2" s="284"/>
      <c r="G2" s="284"/>
      <c r="H2" s="284"/>
      <c r="I2" s="284"/>
      <c r="J2" s="284"/>
      <c r="K2" s="284"/>
      <c r="L2" s="285"/>
      <c r="M2" s="285"/>
    </row>
    <row r="3" spans="1:17" ht="15.75" x14ac:dyDescent="0.25">
      <c r="E3" s="17"/>
      <c r="F3" s="146"/>
      <c r="G3" s="146"/>
      <c r="H3" s="283" t="s">
        <v>432</v>
      </c>
      <c r="I3" s="283"/>
      <c r="J3" s="283"/>
      <c r="K3" s="283"/>
      <c r="L3" s="283"/>
      <c r="M3" s="283"/>
    </row>
    <row r="5" spans="1:17" ht="48.75" customHeight="1" x14ac:dyDescent="0.3">
      <c r="A5" s="286" t="s">
        <v>455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</row>
    <row r="7" spans="1:17" x14ac:dyDescent="0.2">
      <c r="M7" s="143" t="s">
        <v>382</v>
      </c>
    </row>
    <row r="8" spans="1:17" ht="12.75" customHeight="1" x14ac:dyDescent="0.2">
      <c r="A8" s="287" t="s">
        <v>53</v>
      </c>
      <c r="B8" s="289" t="s">
        <v>89</v>
      </c>
      <c r="C8" s="290"/>
      <c r="D8" s="290"/>
      <c r="E8" s="290"/>
      <c r="F8" s="290"/>
      <c r="G8" s="290"/>
      <c r="H8" s="290"/>
      <c r="I8" s="291"/>
      <c r="J8" s="277" t="s">
        <v>53</v>
      </c>
      <c r="K8" s="292" t="s">
        <v>324</v>
      </c>
      <c r="L8" s="294" t="s">
        <v>325</v>
      </c>
      <c r="M8" s="275">
        <v>2022</v>
      </c>
    </row>
    <row r="9" spans="1:17" ht="167.25" x14ac:dyDescent="0.2">
      <c r="A9" s="288"/>
      <c r="B9" s="151" t="s">
        <v>91</v>
      </c>
      <c r="C9" s="151" t="s">
        <v>92</v>
      </c>
      <c r="D9" s="151" t="s">
        <v>93</v>
      </c>
      <c r="E9" s="151" t="s">
        <v>94</v>
      </c>
      <c r="F9" s="151" t="s">
        <v>95</v>
      </c>
      <c r="G9" s="151" t="s">
        <v>96</v>
      </c>
      <c r="H9" s="151" t="s">
        <v>97</v>
      </c>
      <c r="I9" s="151" t="s">
        <v>98</v>
      </c>
      <c r="J9" s="278"/>
      <c r="K9" s="293"/>
      <c r="L9" s="295"/>
      <c r="M9" s="276"/>
    </row>
    <row r="10" spans="1:17" s="3" customFormat="1" x14ac:dyDescent="0.2">
      <c r="A10" s="152"/>
      <c r="B10" s="85">
        <v>1</v>
      </c>
      <c r="C10" s="85">
        <v>2</v>
      </c>
      <c r="D10" s="85">
        <v>3</v>
      </c>
      <c r="E10" s="85">
        <v>4</v>
      </c>
      <c r="F10" s="85">
        <v>5</v>
      </c>
      <c r="G10" s="85">
        <v>6</v>
      </c>
      <c r="H10" s="85">
        <v>7</v>
      </c>
      <c r="I10" s="85">
        <v>8</v>
      </c>
      <c r="J10" s="85"/>
      <c r="K10" s="85">
        <v>2</v>
      </c>
      <c r="L10" s="23">
        <v>3</v>
      </c>
      <c r="M10" s="23">
        <v>4</v>
      </c>
    </row>
    <row r="11" spans="1:17" x14ac:dyDescent="0.2">
      <c r="A11" s="103">
        <v>1</v>
      </c>
      <c r="B11" s="80" t="s">
        <v>22</v>
      </c>
      <c r="C11" s="80" t="s">
        <v>100</v>
      </c>
      <c r="D11" s="80" t="s">
        <v>101</v>
      </c>
      <c r="E11" s="80" t="s">
        <v>101</v>
      </c>
      <c r="F11" s="80" t="s">
        <v>22</v>
      </c>
      <c r="G11" s="80" t="s">
        <v>101</v>
      </c>
      <c r="H11" s="80" t="s">
        <v>102</v>
      </c>
      <c r="I11" s="80" t="s">
        <v>22</v>
      </c>
      <c r="J11" s="24" t="s">
        <v>100</v>
      </c>
      <c r="K11" s="131" t="s">
        <v>336</v>
      </c>
      <c r="L11" s="132" t="s">
        <v>359</v>
      </c>
      <c r="M11" s="133">
        <v>0</v>
      </c>
      <c r="O11" s="78"/>
      <c r="P11" s="78"/>
    </row>
    <row r="12" spans="1:17" x14ac:dyDescent="0.2">
      <c r="A12" s="23">
        <v>2</v>
      </c>
      <c r="B12" s="115" t="s">
        <v>103</v>
      </c>
      <c r="C12" s="115" t="s">
        <v>100</v>
      </c>
      <c r="D12" s="115" t="s">
        <v>104</v>
      </c>
      <c r="E12" s="115" t="s">
        <v>105</v>
      </c>
      <c r="F12" s="115" t="s">
        <v>22</v>
      </c>
      <c r="G12" s="115" t="s">
        <v>104</v>
      </c>
      <c r="H12" s="115" t="s">
        <v>102</v>
      </c>
      <c r="I12" s="115" t="s">
        <v>106</v>
      </c>
      <c r="J12" s="115" t="s">
        <v>127</v>
      </c>
      <c r="K12" s="131" t="s">
        <v>337</v>
      </c>
      <c r="L12" s="132" t="s">
        <v>360</v>
      </c>
      <c r="M12" s="133">
        <v>0</v>
      </c>
      <c r="O12" s="78"/>
      <c r="P12" s="78"/>
      <c r="Q12" s="78"/>
    </row>
    <row r="13" spans="1:17" ht="25.5" x14ac:dyDescent="0.2">
      <c r="A13" s="23">
        <v>3</v>
      </c>
      <c r="B13" s="24" t="s">
        <v>22</v>
      </c>
      <c r="C13" s="24" t="s">
        <v>100</v>
      </c>
      <c r="D13" s="24" t="s">
        <v>108</v>
      </c>
      <c r="E13" s="24" t="s">
        <v>105</v>
      </c>
      <c r="F13" s="24" t="s">
        <v>130</v>
      </c>
      <c r="G13" s="24" t="s">
        <v>104</v>
      </c>
      <c r="H13" s="24" t="s">
        <v>102</v>
      </c>
      <c r="I13" s="24" t="s">
        <v>106</v>
      </c>
      <c r="J13" s="24" t="s">
        <v>284</v>
      </c>
      <c r="K13" s="131" t="s">
        <v>338</v>
      </c>
      <c r="L13" s="132" t="s">
        <v>361</v>
      </c>
      <c r="M13" s="133">
        <v>0</v>
      </c>
      <c r="O13" s="78"/>
      <c r="P13" s="78"/>
      <c r="Q13" s="78"/>
    </row>
    <row r="14" spans="1:17" ht="25.5" x14ac:dyDescent="0.2">
      <c r="A14" s="23"/>
      <c r="B14" s="24"/>
      <c r="C14" s="24"/>
      <c r="D14" s="24"/>
      <c r="E14" s="24"/>
      <c r="F14" s="24"/>
      <c r="G14" s="24"/>
      <c r="H14" s="24"/>
      <c r="I14" s="24"/>
      <c r="J14" s="115" t="s">
        <v>285</v>
      </c>
      <c r="K14" s="131" t="s">
        <v>339</v>
      </c>
      <c r="L14" s="132" t="s">
        <v>362</v>
      </c>
      <c r="M14" s="133">
        <v>0</v>
      </c>
      <c r="O14" s="78"/>
      <c r="P14" s="78"/>
      <c r="Q14" s="78"/>
    </row>
    <row r="15" spans="1:17" ht="25.5" x14ac:dyDescent="0.2">
      <c r="A15" s="24" t="s">
        <v>112</v>
      </c>
      <c r="B15" s="24" t="s">
        <v>70</v>
      </c>
      <c r="C15" s="24" t="s">
        <v>100</v>
      </c>
      <c r="D15" s="24" t="s">
        <v>108</v>
      </c>
      <c r="E15" s="24" t="s">
        <v>105</v>
      </c>
      <c r="F15" s="24" t="s">
        <v>260</v>
      </c>
      <c r="G15" s="24" t="s">
        <v>104</v>
      </c>
      <c r="H15" s="24" t="s">
        <v>102</v>
      </c>
      <c r="I15" s="24" t="s">
        <v>106</v>
      </c>
      <c r="J15" s="24" t="s">
        <v>286</v>
      </c>
      <c r="K15" s="131" t="s">
        <v>340</v>
      </c>
      <c r="L15" s="132" t="s">
        <v>363</v>
      </c>
      <c r="M15" s="133">
        <v>0</v>
      </c>
      <c r="O15" s="78"/>
      <c r="P15" s="78"/>
      <c r="Q15" s="78"/>
    </row>
    <row r="16" spans="1:17" x14ac:dyDescent="0.2">
      <c r="A16" s="24" t="s">
        <v>113</v>
      </c>
      <c r="B16" s="24" t="s">
        <v>70</v>
      </c>
      <c r="C16" s="24" t="s">
        <v>100</v>
      </c>
      <c r="D16" s="24" t="s">
        <v>108</v>
      </c>
      <c r="E16" s="24" t="s">
        <v>105</v>
      </c>
      <c r="F16" s="24" t="s">
        <v>261</v>
      </c>
      <c r="G16" s="24" t="s">
        <v>104</v>
      </c>
      <c r="H16" s="24" t="s">
        <v>102</v>
      </c>
      <c r="I16" s="24" t="s">
        <v>106</v>
      </c>
      <c r="J16" s="115" t="s">
        <v>292</v>
      </c>
      <c r="K16" s="131" t="s">
        <v>341</v>
      </c>
      <c r="L16" s="132" t="s">
        <v>364</v>
      </c>
      <c r="M16" s="134">
        <f>M17+M21</f>
        <v>-368127.56999999983</v>
      </c>
      <c r="O16" s="78"/>
      <c r="P16" s="78"/>
      <c r="Q16" s="78"/>
    </row>
    <row r="17" spans="1:17" x14ac:dyDescent="0.2">
      <c r="A17" s="24" t="s">
        <v>114</v>
      </c>
      <c r="B17" s="24" t="s">
        <v>70</v>
      </c>
      <c r="C17" s="24" t="s">
        <v>100</v>
      </c>
      <c r="D17" s="24" t="s">
        <v>108</v>
      </c>
      <c r="E17" s="24" t="s">
        <v>105</v>
      </c>
      <c r="F17" s="24" t="s">
        <v>81</v>
      </c>
      <c r="G17" s="24" t="s">
        <v>104</v>
      </c>
      <c r="H17" s="24" t="s">
        <v>102</v>
      </c>
      <c r="I17" s="24" t="s">
        <v>106</v>
      </c>
      <c r="J17" s="24" t="s">
        <v>326</v>
      </c>
      <c r="K17" s="131" t="s">
        <v>342</v>
      </c>
      <c r="L17" s="132" t="s">
        <v>365</v>
      </c>
      <c r="M17" s="134">
        <v>-2743994.09</v>
      </c>
      <c r="O17" s="78"/>
      <c r="P17" s="78"/>
      <c r="Q17" s="78"/>
    </row>
    <row r="18" spans="1:17" x14ac:dyDescent="0.2">
      <c r="A18" s="24" t="s">
        <v>115</v>
      </c>
      <c r="B18" s="24" t="s">
        <v>70</v>
      </c>
      <c r="C18" s="24" t="s">
        <v>100</v>
      </c>
      <c r="D18" s="24" t="s">
        <v>108</v>
      </c>
      <c r="E18" s="24" t="s">
        <v>105</v>
      </c>
      <c r="F18" s="24" t="s">
        <v>262</v>
      </c>
      <c r="G18" s="24" t="s">
        <v>104</v>
      </c>
      <c r="H18" s="24" t="s">
        <v>102</v>
      </c>
      <c r="I18" s="24" t="s">
        <v>106</v>
      </c>
      <c r="J18" s="115" t="s">
        <v>327</v>
      </c>
      <c r="K18" s="131" t="s">
        <v>354</v>
      </c>
      <c r="L18" s="132" t="s">
        <v>366</v>
      </c>
      <c r="M18" s="134">
        <f>M17</f>
        <v>-2743994.09</v>
      </c>
      <c r="O18" s="78"/>
      <c r="P18" s="78"/>
      <c r="Q18" s="78"/>
    </row>
    <row r="19" spans="1:17" x14ac:dyDescent="0.2">
      <c r="A19" s="23">
        <v>4</v>
      </c>
      <c r="B19" s="24" t="s">
        <v>103</v>
      </c>
      <c r="C19" s="24" t="s">
        <v>100</v>
      </c>
      <c r="D19" s="24" t="s">
        <v>109</v>
      </c>
      <c r="E19" s="24" t="s">
        <v>108</v>
      </c>
      <c r="F19" s="24" t="s">
        <v>22</v>
      </c>
      <c r="G19" s="24" t="s">
        <v>104</v>
      </c>
      <c r="H19" s="24" t="s">
        <v>102</v>
      </c>
      <c r="I19" s="24" t="s">
        <v>106</v>
      </c>
      <c r="J19" s="24" t="s">
        <v>328</v>
      </c>
      <c r="K19" s="131" t="s">
        <v>355</v>
      </c>
      <c r="L19" s="132" t="s">
        <v>367</v>
      </c>
      <c r="M19" s="134">
        <f>M18</f>
        <v>-2743994.09</v>
      </c>
      <c r="O19" s="78"/>
      <c r="P19" s="78"/>
      <c r="Q19" s="78"/>
    </row>
    <row r="20" spans="1:17" ht="25.5" customHeight="1" x14ac:dyDescent="0.2">
      <c r="A20" s="23">
        <v>5</v>
      </c>
      <c r="B20" s="24" t="s">
        <v>103</v>
      </c>
      <c r="C20" s="24" t="s">
        <v>100</v>
      </c>
      <c r="D20" s="24" t="s">
        <v>110</v>
      </c>
      <c r="E20" s="24" t="s">
        <v>104</v>
      </c>
      <c r="F20" s="24" t="s">
        <v>22</v>
      </c>
      <c r="G20" s="24" t="s">
        <v>101</v>
      </c>
      <c r="H20" s="24" t="s">
        <v>102</v>
      </c>
      <c r="I20" s="24" t="s">
        <v>106</v>
      </c>
      <c r="J20" s="115" t="s">
        <v>119</v>
      </c>
      <c r="K20" s="131" t="s">
        <v>356</v>
      </c>
      <c r="L20" s="132" t="s">
        <v>368</v>
      </c>
      <c r="M20" s="134">
        <f>M19</f>
        <v>-2743994.09</v>
      </c>
      <c r="O20" s="78"/>
      <c r="P20" s="78"/>
      <c r="Q20" s="78"/>
    </row>
    <row r="21" spans="1:17" x14ac:dyDescent="0.2">
      <c r="A21" s="23">
        <v>6</v>
      </c>
      <c r="B21" s="23">
        <v>182</v>
      </c>
      <c r="C21" s="24" t="s">
        <v>100</v>
      </c>
      <c r="D21" s="24" t="s">
        <v>110</v>
      </c>
      <c r="E21" s="24" t="s">
        <v>110</v>
      </c>
      <c r="F21" s="24" t="s">
        <v>22</v>
      </c>
      <c r="G21" s="24" t="s">
        <v>101</v>
      </c>
      <c r="H21" s="24" t="s">
        <v>102</v>
      </c>
      <c r="I21" s="24" t="s">
        <v>106</v>
      </c>
      <c r="J21" s="24" t="s">
        <v>125</v>
      </c>
      <c r="K21" s="131" t="s">
        <v>357</v>
      </c>
      <c r="L21" s="132" t="s">
        <v>369</v>
      </c>
      <c r="M21" s="133">
        <v>2375866.52</v>
      </c>
      <c r="O21" s="78"/>
      <c r="P21" s="78"/>
      <c r="Q21" s="78"/>
    </row>
    <row r="22" spans="1:17" x14ac:dyDescent="0.2">
      <c r="A22" s="23"/>
      <c r="B22" s="145"/>
      <c r="C22" s="145"/>
      <c r="D22" s="145"/>
      <c r="E22" s="145"/>
      <c r="F22" s="145"/>
      <c r="G22" s="145"/>
      <c r="H22" s="145"/>
      <c r="I22" s="145"/>
      <c r="J22" s="115" t="s">
        <v>329</v>
      </c>
      <c r="K22" s="131" t="s">
        <v>358</v>
      </c>
      <c r="L22" s="132" t="s">
        <v>370</v>
      </c>
      <c r="M22" s="133">
        <f>M21</f>
        <v>2375866.52</v>
      </c>
      <c r="O22" s="78"/>
      <c r="P22" s="78"/>
      <c r="Q22" s="78"/>
    </row>
    <row r="23" spans="1:17" ht="20.25" customHeight="1" x14ac:dyDescent="0.2">
      <c r="A23" s="24" t="s">
        <v>116</v>
      </c>
      <c r="B23" s="23">
        <v>182</v>
      </c>
      <c r="C23" s="24" t="s">
        <v>100</v>
      </c>
      <c r="D23" s="24" t="s">
        <v>110</v>
      </c>
      <c r="E23" s="24" t="s">
        <v>110</v>
      </c>
      <c r="F23" s="24" t="s">
        <v>118</v>
      </c>
      <c r="G23" s="24" t="s">
        <v>119</v>
      </c>
      <c r="H23" s="24" t="s">
        <v>102</v>
      </c>
      <c r="I23" s="24" t="s">
        <v>106</v>
      </c>
      <c r="J23" s="24" t="s">
        <v>270</v>
      </c>
      <c r="K23" s="131" t="s">
        <v>353</v>
      </c>
      <c r="L23" s="132" t="s">
        <v>371</v>
      </c>
      <c r="M23" s="133">
        <f>M22</f>
        <v>2375866.52</v>
      </c>
      <c r="O23" s="78"/>
      <c r="P23" s="78"/>
      <c r="Q23" s="78"/>
    </row>
    <row r="24" spans="1:17" ht="25.5" x14ac:dyDescent="0.2">
      <c r="A24" s="24" t="s">
        <v>117</v>
      </c>
      <c r="B24" s="23">
        <v>182</v>
      </c>
      <c r="C24" s="24" t="s">
        <v>100</v>
      </c>
      <c r="D24" s="24" t="s">
        <v>110</v>
      </c>
      <c r="E24" s="24" t="s">
        <v>110</v>
      </c>
      <c r="F24" s="24" t="s">
        <v>120</v>
      </c>
      <c r="G24" s="24" t="s">
        <v>119</v>
      </c>
      <c r="H24" s="24" t="s">
        <v>102</v>
      </c>
      <c r="I24" s="24" t="s">
        <v>106</v>
      </c>
      <c r="J24" s="115" t="s">
        <v>135</v>
      </c>
      <c r="K24" s="131" t="s">
        <v>352</v>
      </c>
      <c r="L24" s="132" t="s">
        <v>372</v>
      </c>
      <c r="M24" s="133">
        <f>M23</f>
        <v>2375866.52</v>
      </c>
      <c r="O24" s="78"/>
      <c r="P24" s="78"/>
      <c r="Q24" s="78"/>
    </row>
    <row r="25" spans="1:17" x14ac:dyDescent="0.2">
      <c r="A25" s="23">
        <v>7</v>
      </c>
      <c r="B25" s="23">
        <v>807</v>
      </c>
      <c r="C25" s="24" t="s">
        <v>100</v>
      </c>
      <c r="D25" s="24" t="s">
        <v>121</v>
      </c>
      <c r="E25" s="24" t="s">
        <v>122</v>
      </c>
      <c r="F25" s="24" t="s">
        <v>123</v>
      </c>
      <c r="G25" s="24" t="s">
        <v>104</v>
      </c>
      <c r="H25" s="24" t="s">
        <v>124</v>
      </c>
      <c r="I25" s="24" t="s">
        <v>106</v>
      </c>
      <c r="J25" s="24" t="s">
        <v>198</v>
      </c>
      <c r="K25" s="131" t="s">
        <v>351</v>
      </c>
      <c r="L25" s="132" t="s">
        <v>373</v>
      </c>
      <c r="M25" s="133">
        <v>0</v>
      </c>
      <c r="O25" s="78"/>
      <c r="P25" s="78"/>
      <c r="Q25" s="78"/>
    </row>
    <row r="26" spans="1:17" ht="25.5" x14ac:dyDescent="0.2">
      <c r="A26" s="23">
        <v>8</v>
      </c>
      <c r="B26" s="23">
        <v>807</v>
      </c>
      <c r="C26" s="24" t="s">
        <v>100</v>
      </c>
      <c r="D26" s="24" t="s">
        <v>125</v>
      </c>
      <c r="E26" s="24" t="s">
        <v>109</v>
      </c>
      <c r="F26" s="24" t="s">
        <v>81</v>
      </c>
      <c r="G26" s="24" t="s">
        <v>101</v>
      </c>
      <c r="H26" s="24" t="s">
        <v>102</v>
      </c>
      <c r="I26" s="24" t="s">
        <v>74</v>
      </c>
      <c r="J26" s="115" t="s">
        <v>309</v>
      </c>
      <c r="K26" s="131" t="s">
        <v>350</v>
      </c>
      <c r="L26" s="132" t="s">
        <v>374</v>
      </c>
      <c r="M26" s="133">
        <v>0</v>
      </c>
      <c r="O26" s="78"/>
      <c r="P26" s="78"/>
      <c r="Q26" s="78"/>
    </row>
    <row r="27" spans="1:17" ht="25.5" x14ac:dyDescent="0.2">
      <c r="A27" s="23">
        <v>9</v>
      </c>
      <c r="B27" s="23">
        <v>807</v>
      </c>
      <c r="C27" s="24" t="s">
        <v>100</v>
      </c>
      <c r="D27" s="24" t="s">
        <v>125</v>
      </c>
      <c r="E27" s="24" t="s">
        <v>109</v>
      </c>
      <c r="F27" s="24" t="s">
        <v>126</v>
      </c>
      <c r="G27" s="24" t="s">
        <v>101</v>
      </c>
      <c r="H27" s="24" t="s">
        <v>102</v>
      </c>
      <c r="I27" s="24" t="s">
        <v>74</v>
      </c>
      <c r="J27" s="24" t="s">
        <v>330</v>
      </c>
      <c r="K27" s="131" t="s">
        <v>349</v>
      </c>
      <c r="L27" s="132" t="s">
        <v>375</v>
      </c>
      <c r="M27" s="133">
        <v>0</v>
      </c>
      <c r="O27" s="78"/>
      <c r="P27" s="78"/>
      <c r="Q27" s="78"/>
    </row>
    <row r="28" spans="1:17" ht="25.5" x14ac:dyDescent="0.2">
      <c r="A28" s="23">
        <v>10</v>
      </c>
      <c r="B28" s="23">
        <v>807</v>
      </c>
      <c r="C28" s="24" t="s">
        <v>100</v>
      </c>
      <c r="D28" s="24" t="s">
        <v>270</v>
      </c>
      <c r="E28" s="24" t="s">
        <v>105</v>
      </c>
      <c r="F28" s="24" t="s">
        <v>271</v>
      </c>
      <c r="G28" s="24" t="s">
        <v>119</v>
      </c>
      <c r="H28" s="24" t="s">
        <v>102</v>
      </c>
      <c r="I28" s="24" t="s">
        <v>272</v>
      </c>
      <c r="J28" s="115" t="s">
        <v>331</v>
      </c>
      <c r="K28" s="131" t="s">
        <v>348</v>
      </c>
      <c r="L28" s="132" t="s">
        <v>376</v>
      </c>
      <c r="M28" s="133">
        <v>0</v>
      </c>
      <c r="O28" s="78"/>
      <c r="P28" s="78"/>
      <c r="Q28" s="78"/>
    </row>
    <row r="29" spans="1:17" ht="25.5" x14ac:dyDescent="0.2">
      <c r="A29" s="23">
        <v>11</v>
      </c>
      <c r="B29" s="23">
        <v>807</v>
      </c>
      <c r="C29" s="24" t="s">
        <v>100</v>
      </c>
      <c r="D29" s="24" t="s">
        <v>135</v>
      </c>
      <c r="E29" s="24" t="s">
        <v>105</v>
      </c>
      <c r="F29" s="24" t="s">
        <v>136</v>
      </c>
      <c r="G29" s="24" t="s">
        <v>119</v>
      </c>
      <c r="H29" s="24" t="s">
        <v>102</v>
      </c>
      <c r="I29" s="24" t="s">
        <v>137</v>
      </c>
      <c r="J29" s="24" t="s">
        <v>332</v>
      </c>
      <c r="K29" s="131" t="s">
        <v>347</v>
      </c>
      <c r="L29" s="132" t="s">
        <v>377</v>
      </c>
      <c r="M29" s="133">
        <v>0</v>
      </c>
      <c r="O29" s="78"/>
      <c r="P29" s="78"/>
      <c r="Q29" s="78"/>
    </row>
    <row r="30" spans="1:17" ht="25.5" x14ac:dyDescent="0.2">
      <c r="A30" s="23">
        <v>12</v>
      </c>
      <c r="B30" s="23">
        <v>807</v>
      </c>
      <c r="C30" s="24" t="s">
        <v>100</v>
      </c>
      <c r="D30" s="24" t="s">
        <v>135</v>
      </c>
      <c r="E30" s="24" t="s">
        <v>110</v>
      </c>
      <c r="F30" s="24" t="s">
        <v>138</v>
      </c>
      <c r="G30" s="24" t="s">
        <v>119</v>
      </c>
      <c r="H30" s="24" t="s">
        <v>102</v>
      </c>
      <c r="I30" s="24" t="s">
        <v>139</v>
      </c>
      <c r="J30" s="115" t="s">
        <v>305</v>
      </c>
      <c r="K30" s="131" t="s">
        <v>346</v>
      </c>
      <c r="L30" s="132" t="s">
        <v>378</v>
      </c>
      <c r="M30" s="133">
        <v>0</v>
      </c>
      <c r="O30" s="78"/>
      <c r="P30" s="78"/>
      <c r="Q30" s="78"/>
    </row>
    <row r="31" spans="1:17" ht="38.25" x14ac:dyDescent="0.2">
      <c r="A31" s="103">
        <v>13</v>
      </c>
      <c r="B31" s="80" t="s">
        <v>22</v>
      </c>
      <c r="C31" s="80" t="s">
        <v>127</v>
      </c>
      <c r="D31" s="80" t="s">
        <v>101</v>
      </c>
      <c r="E31" s="80" t="s">
        <v>101</v>
      </c>
      <c r="F31" s="80" t="s">
        <v>22</v>
      </c>
      <c r="G31" s="80" t="s">
        <v>101</v>
      </c>
      <c r="H31" s="80" t="s">
        <v>102</v>
      </c>
      <c r="I31" s="80" t="s">
        <v>22</v>
      </c>
      <c r="J31" s="24" t="s">
        <v>333</v>
      </c>
      <c r="K31" s="131" t="s">
        <v>345</v>
      </c>
      <c r="L31" s="132" t="s">
        <v>379</v>
      </c>
      <c r="M31" s="133">
        <v>0</v>
      </c>
      <c r="O31" s="78"/>
      <c r="P31" s="78"/>
      <c r="Q31" s="78"/>
    </row>
    <row r="32" spans="1:17" ht="25.5" x14ac:dyDescent="0.2">
      <c r="A32" s="23">
        <v>14</v>
      </c>
      <c r="B32" s="24" t="s">
        <v>129</v>
      </c>
      <c r="C32" s="24" t="s">
        <v>127</v>
      </c>
      <c r="D32" s="24" t="s">
        <v>105</v>
      </c>
      <c r="E32" s="24" t="s">
        <v>198</v>
      </c>
      <c r="F32" s="24" t="s">
        <v>22</v>
      </c>
      <c r="G32" s="24" t="s">
        <v>101</v>
      </c>
      <c r="H32" s="24" t="s">
        <v>102</v>
      </c>
      <c r="I32" s="24" t="s">
        <v>257</v>
      </c>
      <c r="J32" s="115" t="s">
        <v>334</v>
      </c>
      <c r="K32" s="131" t="s">
        <v>344</v>
      </c>
      <c r="L32" s="132" t="s">
        <v>380</v>
      </c>
      <c r="M32" s="133">
        <v>0</v>
      </c>
      <c r="O32" s="78"/>
      <c r="P32" s="78"/>
      <c r="Q32" s="78"/>
    </row>
    <row r="33" spans="1:17" ht="38.25" x14ac:dyDescent="0.2">
      <c r="A33" s="23"/>
      <c r="B33" s="19"/>
      <c r="C33" s="19"/>
      <c r="D33" s="19"/>
      <c r="E33" s="19"/>
      <c r="F33" s="19"/>
      <c r="G33" s="19"/>
      <c r="H33" s="19"/>
      <c r="I33" s="19"/>
      <c r="J33" s="24" t="s">
        <v>335</v>
      </c>
      <c r="K33" s="131" t="s">
        <v>343</v>
      </c>
      <c r="L33" s="132" t="s">
        <v>381</v>
      </c>
      <c r="M33" s="133">
        <v>0</v>
      </c>
      <c r="O33" s="78"/>
      <c r="P33" s="78"/>
      <c r="Q33" s="78"/>
    </row>
    <row r="34" spans="1:17" x14ac:dyDescent="0.2">
      <c r="A34" s="279" t="s">
        <v>133</v>
      </c>
      <c r="B34" s="280"/>
      <c r="C34" s="280"/>
      <c r="D34" s="280"/>
      <c r="E34" s="280"/>
      <c r="F34" s="280"/>
      <c r="G34" s="280"/>
      <c r="H34" s="280"/>
      <c r="I34" s="280"/>
      <c r="J34" s="280"/>
      <c r="K34" s="280"/>
      <c r="L34" s="281"/>
      <c r="M34" s="250">
        <f>M16</f>
        <v>-368127.56999999983</v>
      </c>
      <c r="O34" s="78"/>
      <c r="P34" s="78"/>
      <c r="Q34" s="78"/>
    </row>
    <row r="35" spans="1:17" s="3" customFormat="1" ht="12.75" customHeight="1" x14ac:dyDescent="0.2">
      <c r="K35" s="14"/>
    </row>
    <row r="36" spans="1:17" s="3" customFormat="1" x14ac:dyDescent="0.2">
      <c r="L36" s="30"/>
      <c r="O36" s="86"/>
    </row>
  </sheetData>
  <mergeCells count="11">
    <mergeCell ref="M8:M9"/>
    <mergeCell ref="J8:J9"/>
    <mergeCell ref="A34:L34"/>
    <mergeCell ref="I1:M1"/>
    <mergeCell ref="E2:M2"/>
    <mergeCell ref="H3:M3"/>
    <mergeCell ref="A5:M5"/>
    <mergeCell ref="A8:A9"/>
    <mergeCell ref="B8:I8"/>
    <mergeCell ref="K8:K9"/>
    <mergeCell ref="L8:L9"/>
  </mergeCells>
  <pageMargins left="0.31496062992125984" right="0.15748031496062992" top="0.31496062992125984" bottom="0.27559055118110237" header="0.15748031496062992" footer="0.27559055118110237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51"/>
  <sheetViews>
    <sheetView topLeftCell="A10" workbookViewId="0">
      <selection activeCell="M12" sqref="M12"/>
    </sheetView>
  </sheetViews>
  <sheetFormatPr defaultRowHeight="12.75" x14ac:dyDescent="0.2"/>
  <cols>
    <col min="1" max="1" width="4.28515625" style="1" customWidth="1"/>
    <col min="2" max="2" width="5.42578125" style="1" customWidth="1"/>
    <col min="3" max="3" width="4.28515625" style="1" customWidth="1"/>
    <col min="4" max="4" width="5" style="1" customWidth="1"/>
    <col min="5" max="5" width="4.5703125" style="1" customWidth="1"/>
    <col min="6" max="6" width="5.5703125" style="1" customWidth="1"/>
    <col min="7" max="7" width="4.5703125" style="1" customWidth="1"/>
    <col min="8" max="8" width="7" style="1" customWidth="1"/>
    <col min="9" max="9" width="9.140625" style="1"/>
    <col min="10" max="10" width="37.85546875" style="1" customWidth="1"/>
    <col min="11" max="11" width="12.5703125" style="1" customWidth="1"/>
    <col min="12" max="13" width="12.85546875" style="1" customWidth="1"/>
    <col min="14" max="14" width="12.5703125" style="1" customWidth="1"/>
    <col min="15" max="15" width="9.140625" style="1"/>
    <col min="16" max="16" width="10.85546875" style="1" bestFit="1" customWidth="1"/>
    <col min="17" max="17" width="10" style="1" bestFit="1" customWidth="1"/>
    <col min="18" max="18" width="11.42578125" style="1" customWidth="1"/>
    <col min="19" max="16384" width="9.140625" style="1"/>
  </cols>
  <sheetData>
    <row r="1" spans="1:18" ht="15.75" x14ac:dyDescent="0.25">
      <c r="E1" s="16"/>
      <c r="F1" s="9"/>
      <c r="G1" s="9"/>
      <c r="H1" s="9"/>
      <c r="I1" s="282" t="s">
        <v>416</v>
      </c>
      <c r="J1" s="282"/>
      <c r="K1" s="282"/>
      <c r="L1" s="283"/>
      <c r="M1" s="283"/>
      <c r="N1" s="283"/>
    </row>
    <row r="2" spans="1:18" ht="15.75" x14ac:dyDescent="0.25">
      <c r="E2" s="284" t="s">
        <v>434</v>
      </c>
      <c r="F2" s="284"/>
      <c r="G2" s="284"/>
      <c r="H2" s="284"/>
      <c r="I2" s="284"/>
      <c r="J2" s="284"/>
      <c r="K2" s="284"/>
      <c r="L2" s="285"/>
      <c r="M2" s="285"/>
      <c r="N2" s="285"/>
    </row>
    <row r="3" spans="1:18" ht="15.75" x14ac:dyDescent="0.25">
      <c r="E3" s="17"/>
      <c r="F3" s="146"/>
      <c r="G3" s="146"/>
      <c r="H3" s="283" t="s">
        <v>435</v>
      </c>
      <c r="I3" s="283"/>
      <c r="J3" s="283"/>
      <c r="K3" s="283"/>
      <c r="L3" s="283"/>
      <c r="M3" s="283"/>
      <c r="N3" s="283"/>
    </row>
    <row r="5" spans="1:18" ht="18.75" x14ac:dyDescent="0.3">
      <c r="A5" s="263" t="s">
        <v>456</v>
      </c>
      <c r="B5" s="263"/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</row>
    <row r="7" spans="1:18" x14ac:dyDescent="0.2">
      <c r="N7" s="1" t="s">
        <v>75</v>
      </c>
    </row>
    <row r="8" spans="1:18" ht="12.75" customHeight="1" x14ac:dyDescent="0.2">
      <c r="A8" s="297" t="s">
        <v>53</v>
      </c>
      <c r="B8" s="298" t="s">
        <v>89</v>
      </c>
      <c r="C8" s="299"/>
      <c r="D8" s="299"/>
      <c r="E8" s="299"/>
      <c r="F8" s="299"/>
      <c r="G8" s="299"/>
      <c r="H8" s="299"/>
      <c r="I8" s="299"/>
      <c r="J8" s="293" t="s">
        <v>90</v>
      </c>
      <c r="K8" s="294" t="s">
        <v>457</v>
      </c>
      <c r="L8" s="294" t="s">
        <v>458</v>
      </c>
      <c r="M8" s="294" t="s">
        <v>459</v>
      </c>
      <c r="N8" s="300" t="s">
        <v>280</v>
      </c>
    </row>
    <row r="9" spans="1:18" ht="239.25" x14ac:dyDescent="0.2">
      <c r="A9" s="297"/>
      <c r="B9" s="151" t="s">
        <v>91</v>
      </c>
      <c r="C9" s="151" t="s">
        <v>92</v>
      </c>
      <c r="D9" s="151" t="s">
        <v>93</v>
      </c>
      <c r="E9" s="151" t="s">
        <v>94</v>
      </c>
      <c r="F9" s="151" t="s">
        <v>95</v>
      </c>
      <c r="G9" s="151" t="s">
        <v>96</v>
      </c>
      <c r="H9" s="151" t="s">
        <v>97</v>
      </c>
      <c r="I9" s="151" t="s">
        <v>98</v>
      </c>
      <c r="J9" s="293"/>
      <c r="K9" s="295"/>
      <c r="L9" s="295"/>
      <c r="M9" s="295"/>
      <c r="N9" s="301"/>
    </row>
    <row r="10" spans="1:18" s="3" customFormat="1" x14ac:dyDescent="0.2">
      <c r="A10" s="152"/>
      <c r="B10" s="85">
        <v>1</v>
      </c>
      <c r="C10" s="85">
        <v>2</v>
      </c>
      <c r="D10" s="85">
        <v>3</v>
      </c>
      <c r="E10" s="85">
        <v>4</v>
      </c>
      <c r="F10" s="85">
        <v>5</v>
      </c>
      <c r="G10" s="85">
        <v>6</v>
      </c>
      <c r="H10" s="85">
        <v>7</v>
      </c>
      <c r="I10" s="85">
        <v>8</v>
      </c>
      <c r="J10" s="85">
        <v>9</v>
      </c>
      <c r="K10" s="23">
        <v>10</v>
      </c>
      <c r="L10" s="23">
        <v>11</v>
      </c>
      <c r="M10" s="23">
        <v>12</v>
      </c>
      <c r="N10" s="23">
        <v>13</v>
      </c>
    </row>
    <row r="11" spans="1:18" ht="25.5" x14ac:dyDescent="0.2">
      <c r="A11" s="103">
        <v>1</v>
      </c>
      <c r="B11" s="80" t="s">
        <v>22</v>
      </c>
      <c r="C11" s="80" t="s">
        <v>100</v>
      </c>
      <c r="D11" s="80" t="s">
        <v>101</v>
      </c>
      <c r="E11" s="80" t="s">
        <v>101</v>
      </c>
      <c r="F11" s="80" t="s">
        <v>22</v>
      </c>
      <c r="G11" s="80" t="s">
        <v>101</v>
      </c>
      <c r="H11" s="80" t="s">
        <v>102</v>
      </c>
      <c r="I11" s="80" t="s">
        <v>22</v>
      </c>
      <c r="J11" s="153" t="s">
        <v>99</v>
      </c>
      <c r="K11" s="81">
        <f>K12+K13+K19+K20+K21+K25+K26+K27+K30+K31+K28</f>
        <v>5833.1509999999998</v>
      </c>
      <c r="L11" s="81">
        <f t="shared" ref="L11:M11" si="0">L12+L13+L19+L20+L21+L25+L26+L27+L30+L31+L28</f>
        <v>5833.1509999999998</v>
      </c>
      <c r="M11" s="81">
        <f>M12+M13+M19+M20+M21+M25+M26+M27+M30+M31+M28+M29</f>
        <v>1126.2160900000001</v>
      </c>
      <c r="N11" s="87">
        <f>M11/L11*100</f>
        <v>19.307165029672642</v>
      </c>
      <c r="P11" s="78">
        <f>M11*1000</f>
        <v>1126216.0900000001</v>
      </c>
      <c r="Q11" s="78"/>
    </row>
    <row r="12" spans="1:18" x14ac:dyDescent="0.2">
      <c r="A12" s="23">
        <v>2</v>
      </c>
      <c r="B12" s="115" t="s">
        <v>103</v>
      </c>
      <c r="C12" s="115" t="s">
        <v>100</v>
      </c>
      <c r="D12" s="115" t="s">
        <v>104</v>
      </c>
      <c r="E12" s="115" t="s">
        <v>105</v>
      </c>
      <c r="F12" s="115" t="s">
        <v>22</v>
      </c>
      <c r="G12" s="115" t="s">
        <v>104</v>
      </c>
      <c r="H12" s="115" t="s">
        <v>102</v>
      </c>
      <c r="I12" s="115" t="s">
        <v>106</v>
      </c>
      <c r="J12" s="144" t="s">
        <v>12</v>
      </c>
      <c r="K12" s="70">
        <v>415.75099999999998</v>
      </c>
      <c r="L12" s="27">
        <v>415.75099999999998</v>
      </c>
      <c r="M12" s="27">
        <v>64.330669999999998</v>
      </c>
      <c r="N12" s="88">
        <f>M12/L12*100</f>
        <v>15.473365067071395</v>
      </c>
      <c r="P12" s="78">
        <f t="shared" ref="P12:P47" si="1">M12*1000</f>
        <v>64330.67</v>
      </c>
      <c r="Q12" s="78"/>
      <c r="R12" s="78"/>
    </row>
    <row r="13" spans="1:18" ht="39.75" customHeight="1" x14ac:dyDescent="0.2">
      <c r="A13" s="23">
        <v>3</v>
      </c>
      <c r="B13" s="24" t="s">
        <v>22</v>
      </c>
      <c r="C13" s="24" t="s">
        <v>100</v>
      </c>
      <c r="D13" s="24" t="s">
        <v>108</v>
      </c>
      <c r="E13" s="24" t="s">
        <v>105</v>
      </c>
      <c r="F13" s="24" t="s">
        <v>130</v>
      </c>
      <c r="G13" s="24" t="s">
        <v>104</v>
      </c>
      <c r="H13" s="24" t="s">
        <v>102</v>
      </c>
      <c r="I13" s="24" t="s">
        <v>106</v>
      </c>
      <c r="J13" s="21" t="s">
        <v>61</v>
      </c>
      <c r="K13" s="70">
        <f>SUM(K15:K18)</f>
        <v>695.2</v>
      </c>
      <c r="L13" s="70">
        <f>SUM(L15:L18)</f>
        <v>695.2</v>
      </c>
      <c r="M13" s="70">
        <f t="shared" ref="M13" si="2">SUM(M15:M18)</f>
        <v>179.30305999999999</v>
      </c>
      <c r="N13" s="88">
        <f t="shared" ref="N13:N47" si="3">M13/L13*100</f>
        <v>25.791579401611042</v>
      </c>
      <c r="P13" s="78">
        <f t="shared" si="1"/>
        <v>179303.06</v>
      </c>
      <c r="Q13" s="78"/>
      <c r="R13" s="78">
        <v>87892.95</v>
      </c>
    </row>
    <row r="14" spans="1:18" x14ac:dyDescent="0.2">
      <c r="A14" s="23"/>
      <c r="B14" s="24"/>
      <c r="C14" s="24"/>
      <c r="D14" s="24"/>
      <c r="E14" s="24"/>
      <c r="F14" s="24"/>
      <c r="G14" s="24"/>
      <c r="H14" s="24"/>
      <c r="I14" s="24"/>
      <c r="J14" s="21" t="s">
        <v>111</v>
      </c>
      <c r="K14" s="27"/>
      <c r="L14" s="27"/>
      <c r="M14" s="27"/>
      <c r="N14" s="88"/>
      <c r="P14" s="78">
        <f t="shared" si="1"/>
        <v>0</v>
      </c>
      <c r="Q14" s="78"/>
      <c r="R14" s="78"/>
    </row>
    <row r="15" spans="1:18" ht="80.25" customHeight="1" x14ac:dyDescent="0.2">
      <c r="A15" s="24" t="s">
        <v>112</v>
      </c>
      <c r="B15" s="24" t="s">
        <v>70</v>
      </c>
      <c r="C15" s="24" t="s">
        <v>100</v>
      </c>
      <c r="D15" s="24" t="s">
        <v>108</v>
      </c>
      <c r="E15" s="24" t="s">
        <v>105</v>
      </c>
      <c r="F15" s="24" t="s">
        <v>260</v>
      </c>
      <c r="G15" s="24" t="s">
        <v>104</v>
      </c>
      <c r="H15" s="24" t="s">
        <v>102</v>
      </c>
      <c r="I15" s="24" t="s">
        <v>106</v>
      </c>
      <c r="J15" s="25" t="s">
        <v>62</v>
      </c>
      <c r="K15" s="27">
        <v>314.3</v>
      </c>
      <c r="L15" s="27">
        <v>314.3</v>
      </c>
      <c r="M15" s="27">
        <v>86.111130000000003</v>
      </c>
      <c r="N15" s="88">
        <f t="shared" si="3"/>
        <v>27.397750556792872</v>
      </c>
      <c r="P15" s="78">
        <f t="shared" si="1"/>
        <v>86111.13</v>
      </c>
      <c r="Q15" s="78"/>
      <c r="R15" s="78"/>
    </row>
    <row r="16" spans="1:18" ht="102.75" customHeight="1" x14ac:dyDescent="0.2">
      <c r="A16" s="24" t="s">
        <v>113</v>
      </c>
      <c r="B16" s="24" t="s">
        <v>70</v>
      </c>
      <c r="C16" s="24" t="s">
        <v>100</v>
      </c>
      <c r="D16" s="24" t="s">
        <v>108</v>
      </c>
      <c r="E16" s="24" t="s">
        <v>105</v>
      </c>
      <c r="F16" s="24" t="s">
        <v>261</v>
      </c>
      <c r="G16" s="24" t="s">
        <v>104</v>
      </c>
      <c r="H16" s="24" t="s">
        <v>102</v>
      </c>
      <c r="I16" s="24" t="s">
        <v>106</v>
      </c>
      <c r="J16" s="25" t="s">
        <v>63</v>
      </c>
      <c r="K16" s="27">
        <v>1.7</v>
      </c>
      <c r="L16" s="27">
        <v>1.7</v>
      </c>
      <c r="M16" s="27">
        <v>0.55179999999999996</v>
      </c>
      <c r="N16" s="88">
        <f t="shared" si="3"/>
        <v>32.45882352941176</v>
      </c>
      <c r="P16" s="78">
        <f t="shared" si="1"/>
        <v>551.79999999999995</v>
      </c>
      <c r="Q16" s="78"/>
      <c r="R16" s="78"/>
    </row>
    <row r="17" spans="1:18" ht="78" customHeight="1" x14ac:dyDescent="0.2">
      <c r="A17" s="24" t="s">
        <v>114</v>
      </c>
      <c r="B17" s="24" t="s">
        <v>70</v>
      </c>
      <c r="C17" s="24" t="s">
        <v>100</v>
      </c>
      <c r="D17" s="24" t="s">
        <v>108</v>
      </c>
      <c r="E17" s="24" t="s">
        <v>105</v>
      </c>
      <c r="F17" s="24" t="s">
        <v>81</v>
      </c>
      <c r="G17" s="24" t="s">
        <v>104</v>
      </c>
      <c r="H17" s="24" t="s">
        <v>102</v>
      </c>
      <c r="I17" s="24" t="s">
        <v>106</v>
      </c>
      <c r="J17" s="25" t="s">
        <v>64</v>
      </c>
      <c r="K17" s="27">
        <v>418.6</v>
      </c>
      <c r="L17" s="27">
        <v>418.6</v>
      </c>
      <c r="M17" s="27">
        <v>104.19305</v>
      </c>
      <c r="N17" s="88">
        <f t="shared" si="3"/>
        <v>24.890838509316769</v>
      </c>
      <c r="P17" s="78">
        <f t="shared" si="1"/>
        <v>104193.05</v>
      </c>
      <c r="Q17" s="78"/>
      <c r="R17" s="78"/>
    </row>
    <row r="18" spans="1:18" ht="77.25" customHeight="1" x14ac:dyDescent="0.2">
      <c r="A18" s="24" t="s">
        <v>115</v>
      </c>
      <c r="B18" s="24" t="s">
        <v>70</v>
      </c>
      <c r="C18" s="24" t="s">
        <v>100</v>
      </c>
      <c r="D18" s="24" t="s">
        <v>108</v>
      </c>
      <c r="E18" s="24" t="s">
        <v>105</v>
      </c>
      <c r="F18" s="24" t="s">
        <v>262</v>
      </c>
      <c r="G18" s="24" t="s">
        <v>104</v>
      </c>
      <c r="H18" s="24" t="s">
        <v>102</v>
      </c>
      <c r="I18" s="24" t="s">
        <v>106</v>
      </c>
      <c r="J18" s="25" t="s">
        <v>65</v>
      </c>
      <c r="K18" s="27">
        <v>-39.4</v>
      </c>
      <c r="L18" s="27">
        <v>-39.4</v>
      </c>
      <c r="M18" s="27">
        <v>-11.55292</v>
      </c>
      <c r="N18" s="88">
        <f t="shared" si="3"/>
        <v>29.322131979695431</v>
      </c>
      <c r="P18" s="78">
        <f t="shared" si="1"/>
        <v>-11552.92</v>
      </c>
      <c r="Q18" s="78"/>
      <c r="R18" s="78"/>
    </row>
    <row r="19" spans="1:18" ht="13.5" customHeight="1" x14ac:dyDescent="0.2">
      <c r="A19" s="23">
        <v>4</v>
      </c>
      <c r="B19" s="24" t="s">
        <v>103</v>
      </c>
      <c r="C19" s="24" t="s">
        <v>100</v>
      </c>
      <c r="D19" s="24" t="s">
        <v>109</v>
      </c>
      <c r="E19" s="24" t="s">
        <v>108</v>
      </c>
      <c r="F19" s="24" t="s">
        <v>22</v>
      </c>
      <c r="G19" s="24" t="s">
        <v>104</v>
      </c>
      <c r="H19" s="24" t="s">
        <v>102</v>
      </c>
      <c r="I19" s="24" t="s">
        <v>106</v>
      </c>
      <c r="J19" s="21" t="s">
        <v>11</v>
      </c>
      <c r="K19" s="27">
        <v>1.2</v>
      </c>
      <c r="L19" s="27">
        <v>1.2</v>
      </c>
      <c r="M19" s="27">
        <v>9.6000000000000002E-2</v>
      </c>
      <c r="N19" s="88">
        <f t="shared" si="3"/>
        <v>8</v>
      </c>
      <c r="P19" s="78">
        <f>M19*1000</f>
        <v>96</v>
      </c>
      <c r="Q19" s="78"/>
      <c r="R19" s="78"/>
    </row>
    <row r="20" spans="1:18" ht="14.25" customHeight="1" x14ac:dyDescent="0.2">
      <c r="A20" s="23">
        <v>5</v>
      </c>
      <c r="B20" s="24" t="s">
        <v>103</v>
      </c>
      <c r="C20" s="24" t="s">
        <v>100</v>
      </c>
      <c r="D20" s="24" t="s">
        <v>110</v>
      </c>
      <c r="E20" s="24" t="s">
        <v>104</v>
      </c>
      <c r="F20" s="24" t="s">
        <v>22</v>
      </c>
      <c r="G20" s="24" t="s">
        <v>101</v>
      </c>
      <c r="H20" s="24" t="s">
        <v>102</v>
      </c>
      <c r="I20" s="24" t="s">
        <v>106</v>
      </c>
      <c r="J20" s="21" t="s">
        <v>54</v>
      </c>
      <c r="K20" s="27">
        <v>416</v>
      </c>
      <c r="L20" s="27">
        <v>416</v>
      </c>
      <c r="M20" s="27">
        <v>33.649320000000003</v>
      </c>
      <c r="N20" s="88">
        <f t="shared" si="3"/>
        <v>8.088778846153847</v>
      </c>
      <c r="P20" s="78">
        <f t="shared" si="1"/>
        <v>33649.32</v>
      </c>
      <c r="Q20" s="78"/>
      <c r="R20" s="78"/>
    </row>
    <row r="21" spans="1:18" ht="15.75" customHeight="1" x14ac:dyDescent="0.2">
      <c r="A21" s="23">
        <v>6</v>
      </c>
      <c r="B21" s="23">
        <v>182</v>
      </c>
      <c r="C21" s="24" t="s">
        <v>100</v>
      </c>
      <c r="D21" s="24" t="s">
        <v>110</v>
      </c>
      <c r="E21" s="24" t="s">
        <v>110</v>
      </c>
      <c r="F21" s="24" t="s">
        <v>22</v>
      </c>
      <c r="G21" s="24" t="s">
        <v>101</v>
      </c>
      <c r="H21" s="24" t="s">
        <v>102</v>
      </c>
      <c r="I21" s="24" t="s">
        <v>106</v>
      </c>
      <c r="J21" s="21" t="s">
        <v>55</v>
      </c>
      <c r="K21" s="27">
        <f>SUM(K23:K24)</f>
        <v>3550</v>
      </c>
      <c r="L21" s="27">
        <f t="shared" ref="L21" si="4">SUM(L23:L24)</f>
        <v>3550</v>
      </c>
      <c r="M21" s="27">
        <f>SUM(M23:M24)</f>
        <v>683.49341000000004</v>
      </c>
      <c r="N21" s="88">
        <f t="shared" si="3"/>
        <v>19.253335492957749</v>
      </c>
      <c r="P21" s="78">
        <f t="shared" si="1"/>
        <v>683493.41</v>
      </c>
      <c r="Q21" s="78"/>
      <c r="R21" s="78"/>
    </row>
    <row r="22" spans="1:18" ht="14.25" customHeight="1" x14ac:dyDescent="0.2">
      <c r="A22" s="23"/>
      <c r="B22" s="145"/>
      <c r="C22" s="145"/>
      <c r="D22" s="145"/>
      <c r="E22" s="145"/>
      <c r="F22" s="145"/>
      <c r="G22" s="145"/>
      <c r="H22" s="145"/>
      <c r="I22" s="145"/>
      <c r="J22" s="21" t="s">
        <v>111</v>
      </c>
      <c r="K22" s="27"/>
      <c r="L22" s="31"/>
      <c r="M22" s="27"/>
      <c r="N22" s="88"/>
      <c r="P22" s="78">
        <f t="shared" si="1"/>
        <v>0</v>
      </c>
      <c r="Q22" s="78"/>
      <c r="R22" s="78"/>
    </row>
    <row r="23" spans="1:18" ht="42" customHeight="1" x14ac:dyDescent="0.2">
      <c r="A23" s="24" t="s">
        <v>116</v>
      </c>
      <c r="B23" s="23">
        <v>182</v>
      </c>
      <c r="C23" s="24" t="s">
        <v>100</v>
      </c>
      <c r="D23" s="24" t="s">
        <v>110</v>
      </c>
      <c r="E23" s="24" t="s">
        <v>110</v>
      </c>
      <c r="F23" s="24" t="s">
        <v>118</v>
      </c>
      <c r="G23" s="24" t="s">
        <v>119</v>
      </c>
      <c r="H23" s="24" t="s">
        <v>102</v>
      </c>
      <c r="I23" s="24" t="s">
        <v>106</v>
      </c>
      <c r="J23" s="21" t="s">
        <v>303</v>
      </c>
      <c r="K23" s="28">
        <v>2700</v>
      </c>
      <c r="L23" s="28">
        <v>2700</v>
      </c>
      <c r="M23" s="28">
        <v>456.49009000000001</v>
      </c>
      <c r="N23" s="88">
        <f t="shared" si="3"/>
        <v>16.907040370370371</v>
      </c>
      <c r="P23" s="78">
        <f t="shared" si="1"/>
        <v>456490.09</v>
      </c>
      <c r="Q23" s="78"/>
      <c r="R23" s="78"/>
    </row>
    <row r="24" spans="1:18" ht="52.5" customHeight="1" x14ac:dyDescent="0.2">
      <c r="A24" s="24" t="s">
        <v>117</v>
      </c>
      <c r="B24" s="23">
        <v>182</v>
      </c>
      <c r="C24" s="24" t="s">
        <v>100</v>
      </c>
      <c r="D24" s="24" t="s">
        <v>110</v>
      </c>
      <c r="E24" s="24" t="s">
        <v>110</v>
      </c>
      <c r="F24" s="24" t="s">
        <v>120</v>
      </c>
      <c r="G24" s="24" t="s">
        <v>119</v>
      </c>
      <c r="H24" s="24" t="s">
        <v>102</v>
      </c>
      <c r="I24" s="24" t="s">
        <v>106</v>
      </c>
      <c r="J24" s="21" t="s">
        <v>304</v>
      </c>
      <c r="K24" s="28">
        <v>850</v>
      </c>
      <c r="L24" s="28">
        <v>850</v>
      </c>
      <c r="M24" s="28">
        <v>227.00332</v>
      </c>
      <c r="N24" s="88">
        <f t="shared" si="3"/>
        <v>26.706272941176472</v>
      </c>
      <c r="P24" s="78">
        <f t="shared" si="1"/>
        <v>227003.32</v>
      </c>
      <c r="Q24" s="78"/>
      <c r="R24" s="78"/>
    </row>
    <row r="25" spans="1:18" ht="89.25" x14ac:dyDescent="0.2">
      <c r="A25" s="23">
        <v>7</v>
      </c>
      <c r="B25" s="23">
        <v>807</v>
      </c>
      <c r="C25" s="24" t="s">
        <v>100</v>
      </c>
      <c r="D25" s="24" t="s">
        <v>121</v>
      </c>
      <c r="E25" s="24" t="s">
        <v>122</v>
      </c>
      <c r="F25" s="24" t="s">
        <v>123</v>
      </c>
      <c r="G25" s="24" t="s">
        <v>104</v>
      </c>
      <c r="H25" s="24" t="s">
        <v>124</v>
      </c>
      <c r="I25" s="24" t="s">
        <v>106</v>
      </c>
      <c r="J25" s="21" t="s">
        <v>1</v>
      </c>
      <c r="K25" s="27">
        <v>5</v>
      </c>
      <c r="L25" s="27">
        <v>5</v>
      </c>
      <c r="M25" s="27">
        <v>2.4</v>
      </c>
      <c r="N25" s="88">
        <f t="shared" si="3"/>
        <v>48</v>
      </c>
      <c r="P25" s="78">
        <f t="shared" si="1"/>
        <v>2400</v>
      </c>
      <c r="Q25" s="78"/>
      <c r="R25" s="78"/>
    </row>
    <row r="26" spans="1:18" ht="89.25" x14ac:dyDescent="0.2">
      <c r="A26" s="23">
        <v>8</v>
      </c>
      <c r="B26" s="23">
        <v>807</v>
      </c>
      <c r="C26" s="24" t="s">
        <v>100</v>
      </c>
      <c r="D26" s="24" t="s">
        <v>125</v>
      </c>
      <c r="E26" s="24" t="s">
        <v>109</v>
      </c>
      <c r="F26" s="24" t="s">
        <v>81</v>
      </c>
      <c r="G26" s="24" t="s">
        <v>101</v>
      </c>
      <c r="H26" s="24" t="s">
        <v>102</v>
      </c>
      <c r="I26" s="24" t="s">
        <v>74</v>
      </c>
      <c r="J26" s="21" t="s">
        <v>84</v>
      </c>
      <c r="K26" s="28">
        <v>450</v>
      </c>
      <c r="L26" s="28">
        <v>450</v>
      </c>
      <c r="M26" s="28">
        <v>25.300909999999998</v>
      </c>
      <c r="N26" s="88">
        <f t="shared" si="3"/>
        <v>5.6224244444444436</v>
      </c>
      <c r="P26" s="78">
        <f t="shared" si="1"/>
        <v>25300.91</v>
      </c>
      <c r="Q26" s="78"/>
      <c r="R26" s="78"/>
    </row>
    <row r="27" spans="1:18" ht="63.75" customHeight="1" x14ac:dyDescent="0.2">
      <c r="A27" s="23">
        <v>9</v>
      </c>
      <c r="B27" s="23">
        <v>807</v>
      </c>
      <c r="C27" s="24" t="s">
        <v>100</v>
      </c>
      <c r="D27" s="24" t="s">
        <v>125</v>
      </c>
      <c r="E27" s="24" t="s">
        <v>109</v>
      </c>
      <c r="F27" s="24" t="s">
        <v>126</v>
      </c>
      <c r="G27" s="24" t="s">
        <v>101</v>
      </c>
      <c r="H27" s="24" t="s">
        <v>102</v>
      </c>
      <c r="I27" s="24" t="s">
        <v>74</v>
      </c>
      <c r="J27" s="21" t="s">
        <v>85</v>
      </c>
      <c r="K27" s="28">
        <v>100</v>
      </c>
      <c r="L27" s="28">
        <v>100</v>
      </c>
      <c r="M27" s="28">
        <v>35.584539999999997</v>
      </c>
      <c r="N27" s="88">
        <f t="shared" si="3"/>
        <v>35.584539999999997</v>
      </c>
      <c r="P27" s="78">
        <f t="shared" si="1"/>
        <v>35584.539999999994</v>
      </c>
      <c r="Q27" s="78"/>
      <c r="R27" s="78"/>
    </row>
    <row r="28" spans="1:18" ht="25.5" x14ac:dyDescent="0.2">
      <c r="A28" s="23">
        <v>10</v>
      </c>
      <c r="B28" s="23">
        <v>807</v>
      </c>
      <c r="C28" s="24" t="s">
        <v>100</v>
      </c>
      <c r="D28" s="24" t="s">
        <v>270</v>
      </c>
      <c r="E28" s="24" t="s">
        <v>105</v>
      </c>
      <c r="F28" s="24" t="s">
        <v>271</v>
      </c>
      <c r="G28" s="24" t="s">
        <v>119</v>
      </c>
      <c r="H28" s="24" t="s">
        <v>102</v>
      </c>
      <c r="I28" s="24" t="s">
        <v>272</v>
      </c>
      <c r="J28" s="21" t="s">
        <v>269</v>
      </c>
      <c r="K28" s="28">
        <v>200</v>
      </c>
      <c r="L28" s="28">
        <v>200</v>
      </c>
      <c r="M28" s="28">
        <v>95.458179999999999</v>
      </c>
      <c r="N28" s="88">
        <f t="shared" si="3"/>
        <v>47.729089999999999</v>
      </c>
      <c r="P28" s="78">
        <f t="shared" si="1"/>
        <v>95458.18</v>
      </c>
      <c r="Q28" s="78"/>
      <c r="R28" s="78"/>
    </row>
    <row r="29" spans="1:18" s="229" customFormat="1" ht="25.5" x14ac:dyDescent="0.2">
      <c r="A29" s="228">
        <v>11</v>
      </c>
      <c r="B29" s="228">
        <v>807</v>
      </c>
      <c r="C29" s="24" t="s">
        <v>100</v>
      </c>
      <c r="D29" s="24" t="s">
        <v>330</v>
      </c>
      <c r="E29" s="24" t="s">
        <v>104</v>
      </c>
      <c r="F29" s="24" t="s">
        <v>403</v>
      </c>
      <c r="G29" s="24" t="s">
        <v>119</v>
      </c>
      <c r="H29" s="24" t="s">
        <v>102</v>
      </c>
      <c r="I29" s="24" t="s">
        <v>404</v>
      </c>
      <c r="J29" s="21" t="s">
        <v>405</v>
      </c>
      <c r="K29" s="28">
        <v>0</v>
      </c>
      <c r="L29" s="28">
        <v>0</v>
      </c>
      <c r="M29" s="28">
        <v>6.6</v>
      </c>
      <c r="N29" s="88">
        <v>0</v>
      </c>
      <c r="P29" s="78">
        <f t="shared" si="1"/>
        <v>6600</v>
      </c>
      <c r="Q29" s="78"/>
      <c r="R29" s="78"/>
    </row>
    <row r="30" spans="1:18" ht="101.25" customHeight="1" x14ac:dyDescent="0.2">
      <c r="A30" s="23">
        <v>11</v>
      </c>
      <c r="B30" s="23">
        <v>807</v>
      </c>
      <c r="C30" s="24" t="s">
        <v>100</v>
      </c>
      <c r="D30" s="24" t="s">
        <v>135</v>
      </c>
      <c r="E30" s="24" t="s">
        <v>105</v>
      </c>
      <c r="F30" s="24" t="s">
        <v>136</v>
      </c>
      <c r="G30" s="24" t="s">
        <v>119</v>
      </c>
      <c r="H30" s="24" t="s">
        <v>102</v>
      </c>
      <c r="I30" s="24" t="s">
        <v>137</v>
      </c>
      <c r="J30" s="21" t="s">
        <v>87</v>
      </c>
      <c r="K30" s="28">
        <v>0</v>
      </c>
      <c r="L30" s="28">
        <v>0</v>
      </c>
      <c r="M30" s="28">
        <v>0</v>
      </c>
      <c r="N30" s="88">
        <v>0</v>
      </c>
      <c r="P30" s="78">
        <f t="shared" si="1"/>
        <v>0</v>
      </c>
      <c r="Q30" s="78"/>
      <c r="R30" s="78"/>
    </row>
    <row r="31" spans="1:18" ht="65.25" customHeight="1" x14ac:dyDescent="0.2">
      <c r="A31" s="23">
        <v>12</v>
      </c>
      <c r="B31" s="23">
        <v>807</v>
      </c>
      <c r="C31" s="24" t="s">
        <v>100</v>
      </c>
      <c r="D31" s="24" t="s">
        <v>135</v>
      </c>
      <c r="E31" s="24" t="s">
        <v>110</v>
      </c>
      <c r="F31" s="24" t="s">
        <v>138</v>
      </c>
      <c r="G31" s="24" t="s">
        <v>119</v>
      </c>
      <c r="H31" s="24" t="s">
        <v>102</v>
      </c>
      <c r="I31" s="24" t="s">
        <v>139</v>
      </c>
      <c r="J31" s="21" t="s">
        <v>86</v>
      </c>
      <c r="K31" s="28">
        <v>0</v>
      </c>
      <c r="L31" s="28">
        <v>0</v>
      </c>
      <c r="M31" s="28">
        <v>0</v>
      </c>
      <c r="N31" s="88">
        <v>0</v>
      </c>
      <c r="P31" s="78">
        <f t="shared" si="1"/>
        <v>0</v>
      </c>
      <c r="Q31" s="78"/>
      <c r="R31" s="78"/>
    </row>
    <row r="32" spans="1:18" x14ac:dyDescent="0.2">
      <c r="A32" s="103">
        <v>13</v>
      </c>
      <c r="B32" s="80" t="s">
        <v>22</v>
      </c>
      <c r="C32" s="80" t="s">
        <v>127</v>
      </c>
      <c r="D32" s="80" t="s">
        <v>101</v>
      </c>
      <c r="E32" s="80" t="s">
        <v>101</v>
      </c>
      <c r="F32" s="80" t="s">
        <v>22</v>
      </c>
      <c r="G32" s="80" t="s">
        <v>101</v>
      </c>
      <c r="H32" s="80" t="s">
        <v>102</v>
      </c>
      <c r="I32" s="80" t="s">
        <v>22</v>
      </c>
      <c r="J32" s="67" t="s">
        <v>128</v>
      </c>
      <c r="K32" s="81">
        <f>K33+K37+K41</f>
        <v>5121.4049999999997</v>
      </c>
      <c r="L32" s="81">
        <f t="shared" ref="L32:M32" si="5">L33+L37+L41</f>
        <v>5360.1149999999998</v>
      </c>
      <c r="M32" s="81">
        <f t="shared" si="5"/>
        <v>1617.7780000000002</v>
      </c>
      <c r="N32" s="88">
        <f t="shared" si="3"/>
        <v>30.181777816334172</v>
      </c>
      <c r="P32" s="78">
        <f t="shared" si="1"/>
        <v>1617778.0000000002</v>
      </c>
      <c r="Q32" s="78"/>
      <c r="R32" s="78"/>
    </row>
    <row r="33" spans="1:18" ht="26.25" customHeight="1" x14ac:dyDescent="0.2">
      <c r="A33" s="23">
        <v>14</v>
      </c>
      <c r="B33" s="24" t="s">
        <v>129</v>
      </c>
      <c r="C33" s="24" t="s">
        <v>127</v>
      </c>
      <c r="D33" s="24" t="s">
        <v>105</v>
      </c>
      <c r="E33" s="24" t="s">
        <v>198</v>
      </c>
      <c r="F33" s="24" t="s">
        <v>22</v>
      </c>
      <c r="G33" s="24" t="s">
        <v>101</v>
      </c>
      <c r="H33" s="24" t="s">
        <v>102</v>
      </c>
      <c r="I33" s="24" t="s">
        <v>257</v>
      </c>
      <c r="J33" s="21" t="s">
        <v>258</v>
      </c>
      <c r="K33" s="70">
        <f>SUM(K35:K36)</f>
        <v>1772.9050000000002</v>
      </c>
      <c r="L33" s="70">
        <f>SUM(L35:L36)</f>
        <v>1772.9050000000002</v>
      </c>
      <c r="M33" s="70">
        <f t="shared" ref="M33" si="6">SUM(M35:M36)</f>
        <v>1174.652</v>
      </c>
      <c r="N33" s="88">
        <f t="shared" si="3"/>
        <v>66.255777946364859</v>
      </c>
      <c r="P33" s="78">
        <f t="shared" si="1"/>
        <v>1174652</v>
      </c>
      <c r="Q33" s="78"/>
      <c r="R33" s="78"/>
    </row>
    <row r="34" spans="1:18" x14ac:dyDescent="0.2">
      <c r="A34" s="23"/>
      <c r="B34" s="19"/>
      <c r="C34" s="19"/>
      <c r="D34" s="19"/>
      <c r="E34" s="19"/>
      <c r="F34" s="19"/>
      <c r="G34" s="19"/>
      <c r="H34" s="19"/>
      <c r="I34" s="19"/>
      <c r="J34" s="21" t="s">
        <v>111</v>
      </c>
      <c r="K34" s="29"/>
      <c r="L34" s="28"/>
      <c r="M34" s="28"/>
      <c r="N34" s="88"/>
      <c r="P34" s="78">
        <f t="shared" si="1"/>
        <v>0</v>
      </c>
      <c r="Q34" s="78"/>
      <c r="R34" s="78"/>
    </row>
    <row r="35" spans="1:18" ht="229.5" x14ac:dyDescent="0.2">
      <c r="A35" s="24" t="s">
        <v>467</v>
      </c>
      <c r="B35" s="24" t="s">
        <v>129</v>
      </c>
      <c r="C35" s="24" t="s">
        <v>127</v>
      </c>
      <c r="D35" s="24" t="s">
        <v>105</v>
      </c>
      <c r="E35" s="24" t="s">
        <v>198</v>
      </c>
      <c r="F35" s="24" t="s">
        <v>130</v>
      </c>
      <c r="G35" s="24" t="s">
        <v>119</v>
      </c>
      <c r="H35" s="24" t="s">
        <v>237</v>
      </c>
      <c r="I35" s="24" t="s">
        <v>257</v>
      </c>
      <c r="J35" s="21" t="s">
        <v>294</v>
      </c>
      <c r="K35" s="28">
        <v>746.84199999999998</v>
      </c>
      <c r="L35" s="28">
        <v>746.84199999999998</v>
      </c>
      <c r="M35" s="28">
        <v>186.75200000000001</v>
      </c>
      <c r="N35" s="88">
        <f t="shared" si="3"/>
        <v>25.005556730874805</v>
      </c>
      <c r="P35" s="78">
        <f t="shared" si="1"/>
        <v>186752</v>
      </c>
      <c r="Q35" s="78"/>
      <c r="R35" s="78"/>
    </row>
    <row r="36" spans="1:18" ht="164.25" customHeight="1" x14ac:dyDescent="0.2">
      <c r="A36" s="24" t="s">
        <v>468</v>
      </c>
      <c r="B36" s="24" t="s">
        <v>129</v>
      </c>
      <c r="C36" s="24" t="s">
        <v>127</v>
      </c>
      <c r="D36" s="24" t="s">
        <v>105</v>
      </c>
      <c r="E36" s="24" t="s">
        <v>198</v>
      </c>
      <c r="F36" s="24" t="s">
        <v>130</v>
      </c>
      <c r="G36" s="24" t="s">
        <v>119</v>
      </c>
      <c r="H36" s="24" t="s">
        <v>387</v>
      </c>
      <c r="I36" s="24" t="s">
        <v>257</v>
      </c>
      <c r="J36" s="21" t="s">
        <v>293</v>
      </c>
      <c r="K36" s="28">
        <v>1026.0630000000001</v>
      </c>
      <c r="L36" s="28">
        <v>1026.0630000000001</v>
      </c>
      <c r="M36" s="28">
        <v>987.9</v>
      </c>
      <c r="N36" s="88">
        <f t="shared" si="3"/>
        <v>96.280637738618381</v>
      </c>
      <c r="P36" s="78"/>
      <c r="Q36" s="78"/>
      <c r="R36" s="78"/>
    </row>
    <row r="37" spans="1:18" s="3" customFormat="1" ht="25.5" x14ac:dyDescent="0.2">
      <c r="A37" s="24" t="s">
        <v>198</v>
      </c>
      <c r="B37" s="24" t="s">
        <v>22</v>
      </c>
      <c r="C37" s="24" t="s">
        <v>127</v>
      </c>
      <c r="D37" s="24" t="s">
        <v>105</v>
      </c>
      <c r="E37" s="24" t="s">
        <v>199</v>
      </c>
      <c r="F37" s="24" t="s">
        <v>22</v>
      </c>
      <c r="G37" s="24" t="s">
        <v>101</v>
      </c>
      <c r="H37" s="24" t="s">
        <v>102</v>
      </c>
      <c r="I37" s="24" t="s">
        <v>257</v>
      </c>
      <c r="J37" s="21" t="s">
        <v>259</v>
      </c>
      <c r="K37" s="28">
        <f>SUM(K39:K40)</f>
        <v>445.92099999999999</v>
      </c>
      <c r="L37" s="28">
        <f t="shared" ref="L37:M37" si="7">SUM(L39:L40)</f>
        <v>438.06099999999998</v>
      </c>
      <c r="M37" s="28">
        <f t="shared" si="7"/>
        <v>114.035</v>
      </c>
      <c r="N37" s="88">
        <f t="shared" si="3"/>
        <v>26.031762699715337</v>
      </c>
      <c r="P37" s="78">
        <f t="shared" si="1"/>
        <v>114035</v>
      </c>
      <c r="Q37" s="78"/>
      <c r="R37" s="78"/>
    </row>
    <row r="38" spans="1:18" s="3" customFormat="1" x14ac:dyDescent="0.2">
      <c r="A38" s="104"/>
      <c r="B38" s="145"/>
      <c r="C38" s="145"/>
      <c r="D38" s="145"/>
      <c r="E38" s="145"/>
      <c r="F38" s="145"/>
      <c r="G38" s="145"/>
      <c r="H38" s="145"/>
      <c r="I38" s="145"/>
      <c r="J38" s="21" t="s">
        <v>111</v>
      </c>
      <c r="K38" s="28"/>
      <c r="L38" s="82"/>
      <c r="M38" s="82"/>
      <c r="N38" s="88"/>
      <c r="P38" s="78">
        <f t="shared" si="1"/>
        <v>0</v>
      </c>
      <c r="Q38" s="78"/>
      <c r="R38" s="78"/>
    </row>
    <row r="39" spans="1:18" s="3" customFormat="1" ht="51.75" customHeight="1" x14ac:dyDescent="0.2">
      <c r="A39" s="24" t="s">
        <v>469</v>
      </c>
      <c r="B39" s="24" t="s">
        <v>129</v>
      </c>
      <c r="C39" s="24" t="s">
        <v>127</v>
      </c>
      <c r="D39" s="24" t="s">
        <v>105</v>
      </c>
      <c r="E39" s="24" t="s">
        <v>307</v>
      </c>
      <c r="F39" s="24" t="s">
        <v>308</v>
      </c>
      <c r="G39" s="24" t="s">
        <v>119</v>
      </c>
      <c r="H39" s="24" t="s">
        <v>102</v>
      </c>
      <c r="I39" s="24" t="s">
        <v>257</v>
      </c>
      <c r="J39" s="21" t="s">
        <v>295</v>
      </c>
      <c r="K39" s="82">
        <v>432</v>
      </c>
      <c r="L39" s="28">
        <v>424.14</v>
      </c>
      <c r="M39" s="28">
        <v>106.035</v>
      </c>
      <c r="N39" s="88">
        <f>M39/L39*100</f>
        <v>25</v>
      </c>
      <c r="P39" s="78">
        <f t="shared" si="1"/>
        <v>106035</v>
      </c>
      <c r="Q39" s="78"/>
      <c r="R39" s="78"/>
    </row>
    <row r="40" spans="1:18" s="3" customFormat="1" ht="63.75" x14ac:dyDescent="0.2">
      <c r="A40" s="24" t="s">
        <v>471</v>
      </c>
      <c r="B40" s="24" t="s">
        <v>129</v>
      </c>
      <c r="C40" s="24" t="s">
        <v>127</v>
      </c>
      <c r="D40" s="24" t="s">
        <v>105</v>
      </c>
      <c r="E40" s="24" t="s">
        <v>199</v>
      </c>
      <c r="F40" s="24" t="s">
        <v>132</v>
      </c>
      <c r="G40" s="24" t="s">
        <v>119</v>
      </c>
      <c r="H40" s="24" t="s">
        <v>167</v>
      </c>
      <c r="I40" s="24" t="s">
        <v>257</v>
      </c>
      <c r="J40" s="21" t="s">
        <v>402</v>
      </c>
      <c r="K40" s="28">
        <v>13.920999999999999</v>
      </c>
      <c r="L40" s="28">
        <v>13.920999999999999</v>
      </c>
      <c r="M40" s="28">
        <v>8</v>
      </c>
      <c r="N40" s="88">
        <f t="shared" si="3"/>
        <v>57.467135981610518</v>
      </c>
      <c r="P40" s="78">
        <f t="shared" si="1"/>
        <v>8000</v>
      </c>
      <c r="Q40" s="78"/>
      <c r="R40" s="78"/>
    </row>
    <row r="41" spans="1:18" x14ac:dyDescent="0.2">
      <c r="A41" s="23">
        <v>16</v>
      </c>
      <c r="B41" s="24" t="s">
        <v>22</v>
      </c>
      <c r="C41" s="24" t="s">
        <v>127</v>
      </c>
      <c r="D41" s="24" t="s">
        <v>105</v>
      </c>
      <c r="E41" s="24" t="s">
        <v>201</v>
      </c>
      <c r="F41" s="24" t="s">
        <v>22</v>
      </c>
      <c r="G41" s="24" t="s">
        <v>101</v>
      </c>
      <c r="H41" s="24" t="s">
        <v>102</v>
      </c>
      <c r="I41" s="24" t="s">
        <v>257</v>
      </c>
      <c r="J41" s="21" t="s">
        <v>56</v>
      </c>
      <c r="K41" s="28">
        <f>SUM(K43:K46)</f>
        <v>2902.5789999999997</v>
      </c>
      <c r="L41" s="28">
        <f t="shared" ref="L41:M41" si="8">SUM(L43:L46)</f>
        <v>3149.1489999999999</v>
      </c>
      <c r="M41" s="28">
        <f t="shared" si="8"/>
        <v>329.09100000000001</v>
      </c>
      <c r="N41" s="88">
        <f t="shared" si="3"/>
        <v>10.450156534352613</v>
      </c>
      <c r="O41" s="3"/>
      <c r="P41" s="78">
        <f t="shared" si="1"/>
        <v>329091</v>
      </c>
      <c r="Q41" s="78"/>
      <c r="R41" s="78"/>
    </row>
    <row r="42" spans="1:18" x14ac:dyDescent="0.2">
      <c r="A42" s="104"/>
      <c r="B42" s="145"/>
      <c r="C42" s="145"/>
      <c r="D42" s="145"/>
      <c r="E42" s="145"/>
      <c r="F42" s="145"/>
      <c r="G42" s="145"/>
      <c r="H42" s="145"/>
      <c r="I42" s="145"/>
      <c r="J42" s="21" t="s">
        <v>111</v>
      </c>
      <c r="K42" s="28"/>
      <c r="L42" s="28"/>
      <c r="M42" s="28"/>
      <c r="N42" s="88"/>
      <c r="O42" s="3"/>
      <c r="P42" s="78">
        <f t="shared" si="1"/>
        <v>0</v>
      </c>
      <c r="Q42" s="78"/>
      <c r="R42" s="78"/>
    </row>
    <row r="43" spans="1:18" s="3" customFormat="1" ht="115.5" customHeight="1" x14ac:dyDescent="0.2">
      <c r="A43" s="154" t="s">
        <v>134</v>
      </c>
      <c r="B43" s="241">
        <v>807</v>
      </c>
      <c r="C43" s="241">
        <v>2</v>
      </c>
      <c r="D43" s="24" t="s">
        <v>105</v>
      </c>
      <c r="E43" s="241">
        <v>49</v>
      </c>
      <c r="F43" s="241">
        <v>999</v>
      </c>
      <c r="G43" s="241">
        <v>10</v>
      </c>
      <c r="H43" s="241">
        <v>9235</v>
      </c>
      <c r="I43" s="241">
        <v>150</v>
      </c>
      <c r="J43" s="21" t="s">
        <v>449</v>
      </c>
      <c r="K43" s="28">
        <v>0</v>
      </c>
      <c r="L43" s="28">
        <v>20.57</v>
      </c>
      <c r="M43" s="28">
        <v>0</v>
      </c>
      <c r="N43" s="88">
        <v>0</v>
      </c>
      <c r="P43" s="78"/>
    </row>
    <row r="44" spans="1:18" s="3" customFormat="1" ht="39.75" customHeight="1" x14ac:dyDescent="0.2">
      <c r="A44" s="154" t="s">
        <v>470</v>
      </c>
      <c r="B44" s="241">
        <v>807</v>
      </c>
      <c r="C44" s="241">
        <v>2</v>
      </c>
      <c r="D44" s="24" t="s">
        <v>105</v>
      </c>
      <c r="E44" s="241">
        <v>49</v>
      </c>
      <c r="F44" s="241">
        <v>999</v>
      </c>
      <c r="G44" s="241">
        <v>10</v>
      </c>
      <c r="H44" s="241">
        <v>9179</v>
      </c>
      <c r="I44" s="241">
        <v>150</v>
      </c>
      <c r="J44" s="21" t="s">
        <v>472</v>
      </c>
      <c r="K44" s="28">
        <v>103.09099999999999</v>
      </c>
      <c r="L44" s="28">
        <v>103.09099999999999</v>
      </c>
      <c r="M44" s="28">
        <v>103.09099999999999</v>
      </c>
      <c r="N44" s="88">
        <f>M44/L44*100</f>
        <v>100</v>
      </c>
      <c r="P44" s="78"/>
    </row>
    <row r="45" spans="1:18" s="3" customFormat="1" ht="171" customHeight="1" x14ac:dyDescent="0.2">
      <c r="A45" s="26" t="s">
        <v>473</v>
      </c>
      <c r="B45" s="24" t="s">
        <v>129</v>
      </c>
      <c r="C45" s="24" t="s">
        <v>127</v>
      </c>
      <c r="D45" s="24" t="s">
        <v>105</v>
      </c>
      <c r="E45" s="24" t="s">
        <v>200</v>
      </c>
      <c r="F45" s="24" t="s">
        <v>131</v>
      </c>
      <c r="G45" s="24" t="s">
        <v>119</v>
      </c>
      <c r="H45" s="24" t="s">
        <v>202</v>
      </c>
      <c r="I45" s="24" t="s">
        <v>257</v>
      </c>
      <c r="J45" s="21" t="s">
        <v>297</v>
      </c>
      <c r="K45" s="82">
        <v>2799.4879999999998</v>
      </c>
      <c r="L45" s="82">
        <v>2799.4879999999998</v>
      </c>
      <c r="M45" s="28">
        <v>0</v>
      </c>
      <c r="N45" s="88">
        <f>M45/L45*100</f>
        <v>0</v>
      </c>
      <c r="O45" s="1"/>
      <c r="P45" s="78">
        <f>M45*1000</f>
        <v>0</v>
      </c>
    </row>
    <row r="46" spans="1:18" s="3" customFormat="1" ht="115.5" customHeight="1" x14ac:dyDescent="0.2">
      <c r="A46" s="24" t="s">
        <v>474</v>
      </c>
      <c r="B46" s="24" t="s">
        <v>129</v>
      </c>
      <c r="C46" s="24" t="s">
        <v>127</v>
      </c>
      <c r="D46" s="24" t="s">
        <v>105</v>
      </c>
      <c r="E46" s="24" t="s">
        <v>306</v>
      </c>
      <c r="F46" s="24" t="s">
        <v>131</v>
      </c>
      <c r="G46" s="24" t="s">
        <v>119</v>
      </c>
      <c r="H46" s="24" t="s">
        <v>185</v>
      </c>
      <c r="I46" s="24" t="s">
        <v>257</v>
      </c>
      <c r="J46" s="21" t="s">
        <v>300</v>
      </c>
      <c r="K46" s="82">
        <v>0</v>
      </c>
      <c r="L46" s="82">
        <v>226</v>
      </c>
      <c r="M46" s="82">
        <v>226</v>
      </c>
      <c r="N46" s="88">
        <f>M46/L46*100</f>
        <v>100</v>
      </c>
      <c r="O46" s="1"/>
      <c r="P46" s="78">
        <f>M46*1000</f>
        <v>226000</v>
      </c>
      <c r="Q46" s="78"/>
      <c r="R46" s="78"/>
    </row>
    <row r="47" spans="1:18" x14ac:dyDescent="0.2">
      <c r="A47" s="296" t="s">
        <v>133</v>
      </c>
      <c r="B47" s="296"/>
      <c r="C47" s="296"/>
      <c r="D47" s="296"/>
      <c r="E47" s="296"/>
      <c r="F47" s="296"/>
      <c r="G47" s="296"/>
      <c r="H47" s="296"/>
      <c r="I47" s="296"/>
      <c r="J47" s="296"/>
      <c r="K47" s="105">
        <f>K32+K11</f>
        <v>10954.556</v>
      </c>
      <c r="L47" s="105">
        <f>L32+L11</f>
        <v>11193.266</v>
      </c>
      <c r="M47" s="105">
        <f>M32+M11</f>
        <v>2743.9940900000001</v>
      </c>
      <c r="N47" s="119">
        <f t="shared" si="3"/>
        <v>24.514686687513727</v>
      </c>
      <c r="P47" s="78">
        <f t="shared" si="1"/>
        <v>2743994.0900000003</v>
      </c>
    </row>
    <row r="50" spans="11:13" x14ac:dyDescent="0.2">
      <c r="K50" s="78">
        <f>K47*1000</f>
        <v>10954556</v>
      </c>
      <c r="L50" s="78">
        <f t="shared" ref="L50:M50" si="9">L47*1000</f>
        <v>11193266</v>
      </c>
      <c r="M50" s="78">
        <f t="shared" si="9"/>
        <v>2743994.0900000003</v>
      </c>
    </row>
    <row r="51" spans="11:13" x14ac:dyDescent="0.2">
      <c r="L51" s="78">
        <f>L50-11193266</f>
        <v>0</v>
      </c>
      <c r="M51" s="78">
        <f>M50-2743994.09</f>
        <v>0</v>
      </c>
    </row>
  </sheetData>
  <mergeCells count="12">
    <mergeCell ref="A47:J47"/>
    <mergeCell ref="I1:N1"/>
    <mergeCell ref="E2:N2"/>
    <mergeCell ref="H3:N3"/>
    <mergeCell ref="A5:N5"/>
    <mergeCell ref="A8:A9"/>
    <mergeCell ref="B8:I8"/>
    <mergeCell ref="J8:J9"/>
    <mergeCell ref="K8:K9"/>
    <mergeCell ref="L8:L9"/>
    <mergeCell ref="M8:M9"/>
    <mergeCell ref="N8:N9"/>
  </mergeCells>
  <pageMargins left="0.31496062992125984" right="0.15748031496062992" top="0.31496062992125984" bottom="0.27559055118110237" header="0.15748031496062992" footer="0.27559055118110237"/>
  <pageSetup paperSize="9" scale="7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53"/>
  <sheetViews>
    <sheetView tabSelected="1" topLeftCell="B128" zoomScale="98" zoomScaleNormal="98" zoomScaleSheetLayoutView="80" workbookViewId="0">
      <selection activeCell="G42" sqref="G42"/>
    </sheetView>
  </sheetViews>
  <sheetFormatPr defaultRowHeight="12.75" x14ac:dyDescent="0.2"/>
  <cols>
    <col min="1" max="1" width="5.28515625" style="5" customWidth="1"/>
    <col min="2" max="2" width="67.7109375" style="1" customWidth="1"/>
    <col min="3" max="3" width="12.7109375" style="1" customWidth="1"/>
    <col min="4" max="5" width="9.28515625" style="1" customWidth="1"/>
    <col min="6" max="6" width="13.28515625" style="7" customWidth="1"/>
    <col min="7" max="7" width="14.28515625" style="7" customWidth="1"/>
    <col min="8" max="8" width="13.42578125" style="1" customWidth="1"/>
    <col min="9" max="9" width="11.140625" style="1" customWidth="1"/>
    <col min="10" max="10" width="11" style="1" customWidth="1"/>
    <col min="11" max="11" width="4.5703125" style="1" customWidth="1"/>
    <col min="12" max="13" width="12.28515625" style="1" customWidth="1"/>
    <col min="14" max="14" width="11.7109375" style="1" customWidth="1"/>
    <col min="15" max="16384" width="9.140625" style="1"/>
  </cols>
  <sheetData>
    <row r="1" spans="1:14" ht="17.25" customHeight="1" x14ac:dyDescent="0.25">
      <c r="A1" s="16"/>
      <c r="B1" s="234"/>
      <c r="C1" s="234"/>
      <c r="D1" s="234"/>
      <c r="E1" s="302" t="s">
        <v>417</v>
      </c>
      <c r="F1" s="302"/>
      <c r="G1" s="303"/>
      <c r="H1" s="303"/>
      <c r="I1" s="303"/>
      <c r="J1" s="303"/>
      <c r="K1" s="236"/>
      <c r="L1" s="236"/>
      <c r="M1" s="236"/>
      <c r="N1" s="236"/>
    </row>
    <row r="2" spans="1:14" ht="18" customHeight="1" x14ac:dyDescent="0.25">
      <c r="A2" s="283" t="s">
        <v>410</v>
      </c>
      <c r="B2" s="283"/>
      <c r="C2" s="283"/>
      <c r="D2" s="283"/>
      <c r="E2" s="283"/>
      <c r="F2" s="283"/>
      <c r="G2" s="283"/>
      <c r="H2" s="283"/>
      <c r="I2" s="283"/>
      <c r="J2" s="283"/>
      <c r="K2" s="236"/>
      <c r="L2" s="236"/>
      <c r="M2" s="236"/>
      <c r="N2" s="236"/>
    </row>
    <row r="3" spans="1:14" ht="15.75" customHeight="1" x14ac:dyDescent="0.25">
      <c r="A3" s="17"/>
      <c r="B3" s="233"/>
      <c r="C3" s="233"/>
      <c r="D3" s="303" t="s">
        <v>421</v>
      </c>
      <c r="E3" s="303"/>
      <c r="F3" s="303"/>
      <c r="G3" s="303"/>
      <c r="H3" s="303"/>
      <c r="I3" s="303"/>
      <c r="J3" s="303"/>
      <c r="K3" s="303"/>
      <c r="L3" s="236"/>
      <c r="M3" s="236"/>
      <c r="N3" s="236"/>
    </row>
    <row r="4" spans="1:14" x14ac:dyDescent="0.2">
      <c r="B4" s="4"/>
      <c r="C4" s="4"/>
      <c r="D4" s="4"/>
      <c r="E4" s="4"/>
      <c r="F4" s="4"/>
      <c r="G4" s="4"/>
      <c r="H4" s="236"/>
      <c r="I4" s="236"/>
      <c r="J4" s="236"/>
      <c r="K4" s="236"/>
      <c r="L4" s="236"/>
      <c r="M4" s="236"/>
      <c r="N4" s="236"/>
    </row>
    <row r="5" spans="1:14" ht="69.75" customHeight="1" x14ac:dyDescent="0.2">
      <c r="A5" s="304" t="s">
        <v>460</v>
      </c>
      <c r="B5" s="304"/>
      <c r="C5" s="304"/>
      <c r="D5" s="304"/>
      <c r="E5" s="304"/>
      <c r="F5" s="304"/>
      <c r="G5" s="304"/>
      <c r="H5" s="304"/>
      <c r="I5" s="304"/>
      <c r="J5" s="304"/>
      <c r="K5" s="236"/>
      <c r="L5" s="236"/>
      <c r="M5" s="236"/>
      <c r="N5" s="236"/>
    </row>
    <row r="6" spans="1:14" ht="18.75" x14ac:dyDescent="0.3">
      <c r="B6" s="230"/>
      <c r="C6" s="230"/>
      <c r="D6" s="230"/>
      <c r="E6" s="230"/>
      <c r="F6" s="230"/>
      <c r="G6" s="230"/>
      <c r="H6" s="235"/>
      <c r="I6" s="235"/>
      <c r="J6" s="235"/>
      <c r="K6" s="236"/>
      <c r="L6" s="236"/>
      <c r="M6" s="236"/>
      <c r="N6" s="236"/>
    </row>
    <row r="7" spans="1:14" ht="13.5" thickBot="1" x14ac:dyDescent="0.25">
      <c r="B7" s="236"/>
      <c r="C7" s="236"/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236"/>
    </row>
    <row r="8" spans="1:14" ht="66.75" customHeight="1" thickBot="1" x14ac:dyDescent="0.25">
      <c r="A8" s="231" t="s">
        <v>53</v>
      </c>
      <c r="B8" s="232" t="s">
        <v>13</v>
      </c>
      <c r="C8" s="232" t="s">
        <v>15</v>
      </c>
      <c r="D8" s="232" t="s">
        <v>16</v>
      </c>
      <c r="E8" s="232" t="s">
        <v>14</v>
      </c>
      <c r="F8" s="155" t="s">
        <v>457</v>
      </c>
      <c r="G8" s="120" t="s">
        <v>458</v>
      </c>
      <c r="H8" s="156" t="s">
        <v>459</v>
      </c>
      <c r="I8" s="156" t="s">
        <v>310</v>
      </c>
      <c r="J8" s="121" t="s">
        <v>280</v>
      </c>
      <c r="K8" s="6"/>
      <c r="L8" s="4"/>
      <c r="M8" s="236"/>
      <c r="N8" s="236"/>
    </row>
    <row r="9" spans="1:14" x14ac:dyDescent="0.2">
      <c r="A9" s="123">
        <v>1</v>
      </c>
      <c r="B9" s="124">
        <v>2</v>
      </c>
      <c r="C9" s="124">
        <v>3</v>
      </c>
      <c r="D9" s="124">
        <v>4</v>
      </c>
      <c r="E9" s="124">
        <v>5</v>
      </c>
      <c r="F9" s="124">
        <v>6</v>
      </c>
      <c r="G9" s="124">
        <v>7</v>
      </c>
      <c r="H9" s="124">
        <v>8</v>
      </c>
      <c r="I9" s="124"/>
      <c r="J9" s="125">
        <v>9</v>
      </c>
      <c r="K9" s="6"/>
      <c r="L9" s="4"/>
      <c r="M9" s="236"/>
      <c r="N9" s="236"/>
    </row>
    <row r="10" spans="1:14" ht="28.5" customHeight="1" x14ac:dyDescent="0.2">
      <c r="A10" s="157">
        <v>1</v>
      </c>
      <c r="B10" s="158" t="s">
        <v>311</v>
      </c>
      <c r="C10" s="159" t="s">
        <v>179</v>
      </c>
      <c r="D10" s="159" t="s">
        <v>155</v>
      </c>
      <c r="E10" s="159" t="s">
        <v>155</v>
      </c>
      <c r="F10" s="160">
        <f>F11+F18</f>
        <v>1678.2910000000002</v>
      </c>
      <c r="G10" s="160">
        <f>G11+G18</f>
        <v>2181.5969500000001</v>
      </c>
      <c r="H10" s="160">
        <f>H11+H18</f>
        <v>419.68552999999997</v>
      </c>
      <c r="I10" s="122">
        <f>G10-H10</f>
        <v>1761.9114200000001</v>
      </c>
      <c r="J10" s="126">
        <f>H10/G10*100</f>
        <v>19.237537437884665</v>
      </c>
      <c r="K10" s="6"/>
      <c r="L10" s="76">
        <f>F10*1000</f>
        <v>1678291.0000000002</v>
      </c>
      <c r="M10" s="76">
        <f>G10*1000</f>
        <v>2181596.9500000002</v>
      </c>
      <c r="N10" s="76">
        <f>H10*1000</f>
        <v>419685.52999999997</v>
      </c>
    </row>
    <row r="11" spans="1:14" ht="15.75" customHeight="1" x14ac:dyDescent="0.2">
      <c r="A11" s="157">
        <v>2</v>
      </c>
      <c r="B11" s="161" t="s">
        <v>156</v>
      </c>
      <c r="C11" s="162" t="s">
        <v>183</v>
      </c>
      <c r="D11" s="162" t="s">
        <v>155</v>
      </c>
      <c r="E11" s="162" t="s">
        <v>155</v>
      </c>
      <c r="F11" s="163">
        <f t="shared" ref="F11:H14" si="0">F12</f>
        <v>798.29100000000005</v>
      </c>
      <c r="G11" s="163">
        <f t="shared" si="0"/>
        <v>813.85866999999996</v>
      </c>
      <c r="H11" s="163">
        <f t="shared" si="0"/>
        <v>80.68656</v>
      </c>
      <c r="I11" s="75">
        <f>G11-H11</f>
        <v>733.17210999999998</v>
      </c>
      <c r="J11" s="129">
        <f t="shared" ref="J11" si="1">H11/G11*100</f>
        <v>9.9140751305137531</v>
      </c>
      <c r="K11" s="6"/>
      <c r="L11" s="76">
        <f t="shared" ref="L11:N91" si="2">F11*1000</f>
        <v>798291</v>
      </c>
      <c r="M11" s="83">
        <f t="shared" si="2"/>
        <v>813858.66999999993</v>
      </c>
      <c r="N11" s="76">
        <f t="shared" si="2"/>
        <v>80686.559999999998</v>
      </c>
    </row>
    <row r="12" spans="1:14" ht="80.25" customHeight="1" x14ac:dyDescent="0.2">
      <c r="A12" s="157">
        <v>3</v>
      </c>
      <c r="B12" s="161" t="s">
        <v>206</v>
      </c>
      <c r="C12" s="164" t="s">
        <v>178</v>
      </c>
      <c r="D12" s="162" t="s">
        <v>155</v>
      </c>
      <c r="E12" s="162" t="s">
        <v>155</v>
      </c>
      <c r="F12" s="163">
        <f t="shared" si="0"/>
        <v>798.29100000000005</v>
      </c>
      <c r="G12" s="163">
        <f t="shared" si="0"/>
        <v>813.85866999999996</v>
      </c>
      <c r="H12" s="163">
        <f t="shared" si="0"/>
        <v>80.68656</v>
      </c>
      <c r="I12" s="75">
        <f t="shared" ref="I12:I74" si="3">G12-H12</f>
        <v>733.17210999999998</v>
      </c>
      <c r="J12" s="129">
        <f t="shared" ref="J12:J74" si="4">H12/G12*100</f>
        <v>9.9140751305137531</v>
      </c>
      <c r="K12" s="6"/>
      <c r="L12" s="76">
        <f t="shared" si="2"/>
        <v>798291</v>
      </c>
      <c r="M12" s="83">
        <f t="shared" si="2"/>
        <v>813858.66999999993</v>
      </c>
      <c r="N12" s="76">
        <f t="shared" si="2"/>
        <v>80686.559999999998</v>
      </c>
    </row>
    <row r="13" spans="1:14" x14ac:dyDescent="0.2">
      <c r="A13" s="157">
        <v>4</v>
      </c>
      <c r="B13" s="165" t="s">
        <v>71</v>
      </c>
      <c r="C13" s="164" t="s">
        <v>178</v>
      </c>
      <c r="D13" s="59" t="s">
        <v>72</v>
      </c>
      <c r="E13" s="59"/>
      <c r="F13" s="69">
        <f>F14</f>
        <v>798.29100000000005</v>
      </c>
      <c r="G13" s="69">
        <f>G14</f>
        <v>813.85866999999996</v>
      </c>
      <c r="H13" s="69">
        <f t="shared" si="0"/>
        <v>80.68656</v>
      </c>
      <c r="I13" s="75">
        <f t="shared" si="3"/>
        <v>733.17210999999998</v>
      </c>
      <c r="J13" s="129">
        <f t="shared" si="4"/>
        <v>9.9140751305137531</v>
      </c>
      <c r="K13" s="6"/>
      <c r="L13" s="76">
        <f t="shared" si="2"/>
        <v>798291</v>
      </c>
      <c r="M13" s="83">
        <f t="shared" si="2"/>
        <v>813858.66999999993</v>
      </c>
      <c r="N13" s="76">
        <f t="shared" si="2"/>
        <v>80686.559999999998</v>
      </c>
    </row>
    <row r="14" spans="1:14" ht="25.5" x14ac:dyDescent="0.2">
      <c r="A14" s="157">
        <v>5</v>
      </c>
      <c r="B14" s="165" t="s">
        <v>157</v>
      </c>
      <c r="C14" s="164" t="s">
        <v>178</v>
      </c>
      <c r="D14" s="59" t="s">
        <v>73</v>
      </c>
      <c r="E14" s="59"/>
      <c r="F14" s="69">
        <f>F15</f>
        <v>798.29100000000005</v>
      </c>
      <c r="G14" s="69">
        <f t="shared" ref="G14" si="5">G15</f>
        <v>813.85866999999996</v>
      </c>
      <c r="H14" s="69">
        <f t="shared" si="0"/>
        <v>80.68656</v>
      </c>
      <c r="I14" s="75">
        <f t="shared" si="3"/>
        <v>733.17210999999998</v>
      </c>
      <c r="J14" s="129">
        <f t="shared" si="4"/>
        <v>9.9140751305137531</v>
      </c>
      <c r="K14" s="6"/>
      <c r="L14" s="76">
        <f t="shared" si="2"/>
        <v>798291</v>
      </c>
      <c r="M14" s="83">
        <f t="shared" si="2"/>
        <v>813858.66999999993</v>
      </c>
      <c r="N14" s="76">
        <f t="shared" si="2"/>
        <v>80686.559999999998</v>
      </c>
    </row>
    <row r="15" spans="1:14" x14ac:dyDescent="0.2">
      <c r="A15" s="157">
        <v>6</v>
      </c>
      <c r="B15" s="60" t="s">
        <v>149</v>
      </c>
      <c r="C15" s="164" t="s">
        <v>178</v>
      </c>
      <c r="D15" s="59" t="s">
        <v>73</v>
      </c>
      <c r="E15" s="59" t="s">
        <v>150</v>
      </c>
      <c r="F15" s="69">
        <f>F16+F17</f>
        <v>798.29100000000005</v>
      </c>
      <c r="G15" s="69">
        <f t="shared" ref="G15:H15" si="6">G16+G17</f>
        <v>813.85866999999996</v>
      </c>
      <c r="H15" s="69">
        <f t="shared" si="6"/>
        <v>80.68656</v>
      </c>
      <c r="I15" s="75">
        <f t="shared" si="3"/>
        <v>733.17210999999998</v>
      </c>
      <c r="J15" s="129">
        <f t="shared" si="4"/>
        <v>9.9140751305137531</v>
      </c>
      <c r="K15" s="6"/>
      <c r="L15" s="76">
        <f t="shared" si="2"/>
        <v>798291</v>
      </c>
      <c r="M15" s="83">
        <f t="shared" si="2"/>
        <v>813858.66999999993</v>
      </c>
      <c r="N15" s="76">
        <f t="shared" si="2"/>
        <v>80686.559999999998</v>
      </c>
    </row>
    <row r="16" spans="1:14" x14ac:dyDescent="0.2">
      <c r="A16" s="157">
        <v>7</v>
      </c>
      <c r="B16" s="61" t="s">
        <v>151</v>
      </c>
      <c r="C16" s="164" t="s">
        <v>178</v>
      </c>
      <c r="D16" s="59" t="s">
        <v>73</v>
      </c>
      <c r="E16" s="59" t="s">
        <v>58</v>
      </c>
      <c r="F16" s="163">
        <v>695.2</v>
      </c>
      <c r="G16" s="163">
        <v>710.76766999999995</v>
      </c>
      <c r="H16" s="69">
        <v>80.68656</v>
      </c>
      <c r="I16" s="75">
        <f t="shared" si="3"/>
        <v>630.08110999999997</v>
      </c>
      <c r="J16" s="129">
        <f t="shared" si="4"/>
        <v>11.352030122585626</v>
      </c>
      <c r="K16" s="6"/>
      <c r="L16" s="76">
        <f t="shared" si="2"/>
        <v>695200</v>
      </c>
      <c r="M16" s="83">
        <f t="shared" si="2"/>
        <v>710767.66999999993</v>
      </c>
      <c r="N16" s="76">
        <f t="shared" si="2"/>
        <v>80686.559999999998</v>
      </c>
    </row>
    <row r="17" spans="1:14" x14ac:dyDescent="0.2">
      <c r="A17" s="157">
        <v>8</v>
      </c>
      <c r="B17" s="61" t="s">
        <v>151</v>
      </c>
      <c r="C17" s="164" t="s">
        <v>478</v>
      </c>
      <c r="D17" s="59" t="s">
        <v>73</v>
      </c>
      <c r="E17" s="59" t="s">
        <v>58</v>
      </c>
      <c r="F17" s="163">
        <v>103.09099999999999</v>
      </c>
      <c r="G17" s="163">
        <v>103.09099999999999</v>
      </c>
      <c r="H17" s="163">
        <v>0</v>
      </c>
      <c r="I17" s="75">
        <f t="shared" si="3"/>
        <v>103.09099999999999</v>
      </c>
      <c r="J17" s="129">
        <f t="shared" si="4"/>
        <v>0</v>
      </c>
      <c r="K17" s="6"/>
      <c r="L17" s="76">
        <f t="shared" ref="L17" si="7">F17*1000</f>
        <v>103091</v>
      </c>
      <c r="M17" s="83">
        <f t="shared" ref="M17" si="8">G17*1000</f>
        <v>103091</v>
      </c>
      <c r="N17" s="76">
        <f t="shared" ref="N17" si="9">H17*1000</f>
        <v>0</v>
      </c>
    </row>
    <row r="18" spans="1:14" ht="69.75" customHeight="1" x14ac:dyDescent="0.2">
      <c r="A18" s="157">
        <v>9</v>
      </c>
      <c r="B18" s="161" t="s">
        <v>312</v>
      </c>
      <c r="C18" s="162" t="s">
        <v>184</v>
      </c>
      <c r="D18" s="162" t="s">
        <v>155</v>
      </c>
      <c r="E18" s="162" t="s">
        <v>155</v>
      </c>
      <c r="F18" s="163">
        <f>F19+F24</f>
        <v>880</v>
      </c>
      <c r="G18" s="163">
        <f>G19+G24</f>
        <v>1367.73828</v>
      </c>
      <c r="H18" s="163">
        <f t="shared" ref="H18" si="10">H19+H24</f>
        <v>338.99896999999999</v>
      </c>
      <c r="I18" s="75">
        <f t="shared" si="3"/>
        <v>1028.7393099999999</v>
      </c>
      <c r="J18" s="129">
        <f t="shared" si="4"/>
        <v>24.785368294290922</v>
      </c>
      <c r="K18" s="6"/>
      <c r="L18" s="76">
        <f t="shared" si="2"/>
        <v>880000</v>
      </c>
      <c r="M18" s="83">
        <f t="shared" si="2"/>
        <v>1367738.28</v>
      </c>
      <c r="N18" s="76">
        <f t="shared" si="2"/>
        <v>338998.97</v>
      </c>
    </row>
    <row r="19" spans="1:14" ht="102" x14ac:dyDescent="0.2">
      <c r="A19" s="157">
        <v>10</v>
      </c>
      <c r="B19" s="161" t="s">
        <v>313</v>
      </c>
      <c r="C19" s="164" t="s">
        <v>181</v>
      </c>
      <c r="D19" s="162" t="s">
        <v>155</v>
      </c>
      <c r="E19" s="162" t="s">
        <v>155</v>
      </c>
      <c r="F19" s="163">
        <f>F20</f>
        <v>700</v>
      </c>
      <c r="G19" s="163">
        <f>G20</f>
        <v>700</v>
      </c>
      <c r="H19" s="163">
        <f t="shared" ref="G19:H20" si="11">H20</f>
        <v>238.99897000000001</v>
      </c>
      <c r="I19" s="75">
        <f t="shared" si="3"/>
        <v>461.00103000000001</v>
      </c>
      <c r="J19" s="129">
        <f t="shared" si="4"/>
        <v>34.142710000000001</v>
      </c>
      <c r="K19" s="6"/>
      <c r="L19" s="76">
        <f t="shared" si="2"/>
        <v>700000</v>
      </c>
      <c r="M19" s="83">
        <f t="shared" si="2"/>
        <v>700000</v>
      </c>
      <c r="N19" s="76">
        <f t="shared" si="2"/>
        <v>238998.97</v>
      </c>
    </row>
    <row r="20" spans="1:14" x14ac:dyDescent="0.2">
      <c r="A20" s="157">
        <v>11</v>
      </c>
      <c r="B20" s="165" t="s">
        <v>71</v>
      </c>
      <c r="C20" s="164" t="s">
        <v>181</v>
      </c>
      <c r="D20" s="59" t="s">
        <v>72</v>
      </c>
      <c r="E20" s="59"/>
      <c r="F20" s="69">
        <f t="shared" ref="F20:F21" si="12">F21</f>
        <v>700</v>
      </c>
      <c r="G20" s="163">
        <f t="shared" si="11"/>
        <v>700</v>
      </c>
      <c r="H20" s="163">
        <f t="shared" si="11"/>
        <v>238.99897000000001</v>
      </c>
      <c r="I20" s="75">
        <f t="shared" si="3"/>
        <v>461.00103000000001</v>
      </c>
      <c r="J20" s="129">
        <f t="shared" si="4"/>
        <v>34.142710000000001</v>
      </c>
      <c r="K20" s="6"/>
      <c r="L20" s="76">
        <f t="shared" si="2"/>
        <v>700000</v>
      </c>
      <c r="M20" s="83">
        <f t="shared" si="2"/>
        <v>700000</v>
      </c>
      <c r="N20" s="76">
        <f t="shared" si="2"/>
        <v>238998.97</v>
      </c>
    </row>
    <row r="21" spans="1:14" ht="25.5" x14ac:dyDescent="0.2">
      <c r="A21" s="157">
        <v>12</v>
      </c>
      <c r="B21" s="165" t="s">
        <v>157</v>
      </c>
      <c r="C21" s="164" t="s">
        <v>181</v>
      </c>
      <c r="D21" s="59" t="s">
        <v>73</v>
      </c>
      <c r="E21" s="59"/>
      <c r="F21" s="69">
        <f t="shared" si="12"/>
        <v>700</v>
      </c>
      <c r="G21" s="163">
        <f t="shared" ref="G21:H21" si="13">SUM(G22)</f>
        <v>700</v>
      </c>
      <c r="H21" s="163">
        <f t="shared" si="13"/>
        <v>238.99897000000001</v>
      </c>
      <c r="I21" s="75">
        <f t="shared" si="3"/>
        <v>461.00103000000001</v>
      </c>
      <c r="J21" s="129">
        <f t="shared" si="4"/>
        <v>34.142710000000001</v>
      </c>
      <c r="K21" s="6"/>
      <c r="L21" s="76">
        <f t="shared" si="2"/>
        <v>700000</v>
      </c>
      <c r="M21" s="83">
        <f t="shared" si="2"/>
        <v>700000</v>
      </c>
      <c r="N21" s="76">
        <f t="shared" si="2"/>
        <v>238998.97</v>
      </c>
    </row>
    <row r="22" spans="1:14" x14ac:dyDescent="0.2">
      <c r="A22" s="157">
        <v>13</v>
      </c>
      <c r="B22" s="60" t="s">
        <v>152</v>
      </c>
      <c r="C22" s="164" t="s">
        <v>181</v>
      </c>
      <c r="D22" s="59" t="s">
        <v>73</v>
      </c>
      <c r="E22" s="59" t="s">
        <v>30</v>
      </c>
      <c r="F22" s="69">
        <f>F23</f>
        <v>700</v>
      </c>
      <c r="G22" s="69">
        <f t="shared" ref="G22:H22" si="14">G23</f>
        <v>700</v>
      </c>
      <c r="H22" s="69">
        <f t="shared" si="14"/>
        <v>238.99897000000001</v>
      </c>
      <c r="I22" s="75">
        <f t="shared" si="3"/>
        <v>461.00103000000001</v>
      </c>
      <c r="J22" s="129">
        <f t="shared" si="4"/>
        <v>34.142710000000001</v>
      </c>
      <c r="K22" s="6"/>
      <c r="L22" s="76">
        <f t="shared" si="2"/>
        <v>700000</v>
      </c>
      <c r="M22" s="83">
        <f t="shared" si="2"/>
        <v>700000</v>
      </c>
      <c r="N22" s="76">
        <f t="shared" si="2"/>
        <v>238998.97</v>
      </c>
    </row>
    <row r="23" spans="1:14" x14ac:dyDescent="0.2">
      <c r="A23" s="157">
        <v>14</v>
      </c>
      <c r="B23" s="161" t="s">
        <v>153</v>
      </c>
      <c r="C23" s="164" t="s">
        <v>181</v>
      </c>
      <c r="D23" s="59" t="s">
        <v>393</v>
      </c>
      <c r="E23" s="59" t="s">
        <v>31</v>
      </c>
      <c r="F23" s="69">
        <v>700</v>
      </c>
      <c r="G23" s="163">
        <v>700</v>
      </c>
      <c r="H23" s="163">
        <v>238.99897000000001</v>
      </c>
      <c r="I23" s="75">
        <f t="shared" si="3"/>
        <v>461.00103000000001</v>
      </c>
      <c r="J23" s="129">
        <f t="shared" si="4"/>
        <v>34.142710000000001</v>
      </c>
      <c r="K23" s="6"/>
      <c r="L23" s="76">
        <f t="shared" si="2"/>
        <v>700000</v>
      </c>
      <c r="M23" s="83">
        <f t="shared" si="2"/>
        <v>700000</v>
      </c>
      <c r="N23" s="76">
        <f t="shared" si="2"/>
        <v>238998.97</v>
      </c>
    </row>
    <row r="24" spans="1:14" ht="95.25" customHeight="1" x14ac:dyDescent="0.2">
      <c r="A24" s="157">
        <v>15</v>
      </c>
      <c r="B24" s="161" t="s">
        <v>314</v>
      </c>
      <c r="C24" s="164" t="s">
        <v>182</v>
      </c>
      <c r="D24" s="162" t="s">
        <v>155</v>
      </c>
      <c r="E24" s="162" t="s">
        <v>155</v>
      </c>
      <c r="F24" s="163">
        <f>F25</f>
        <v>180</v>
      </c>
      <c r="G24" s="163">
        <f t="shared" ref="G24:H27" si="15">G25</f>
        <v>667.73828000000003</v>
      </c>
      <c r="H24" s="163">
        <f t="shared" si="15"/>
        <v>100</v>
      </c>
      <c r="I24" s="75">
        <f t="shared" si="3"/>
        <v>567.73828000000003</v>
      </c>
      <c r="J24" s="129">
        <f t="shared" si="4"/>
        <v>14.975927394787069</v>
      </c>
      <c r="K24" s="6"/>
      <c r="L24" s="76">
        <f t="shared" si="2"/>
        <v>180000</v>
      </c>
      <c r="M24" s="83">
        <f t="shared" si="2"/>
        <v>667738.28</v>
      </c>
      <c r="N24" s="76">
        <f t="shared" si="2"/>
        <v>100000</v>
      </c>
    </row>
    <row r="25" spans="1:14" x14ac:dyDescent="0.2">
      <c r="A25" s="157">
        <v>16</v>
      </c>
      <c r="B25" s="165" t="s">
        <v>71</v>
      </c>
      <c r="C25" s="164" t="s">
        <v>182</v>
      </c>
      <c r="D25" s="59" t="s">
        <v>72</v>
      </c>
      <c r="E25" s="59"/>
      <c r="F25" s="69">
        <f>F26</f>
        <v>180</v>
      </c>
      <c r="G25" s="69">
        <f t="shared" si="15"/>
        <v>667.73828000000003</v>
      </c>
      <c r="H25" s="69">
        <f t="shared" si="15"/>
        <v>100</v>
      </c>
      <c r="I25" s="75">
        <f t="shared" si="3"/>
        <v>567.73828000000003</v>
      </c>
      <c r="J25" s="129">
        <f t="shared" si="4"/>
        <v>14.975927394787069</v>
      </c>
      <c r="K25" s="6"/>
      <c r="L25" s="76">
        <f t="shared" si="2"/>
        <v>180000</v>
      </c>
      <c r="M25" s="83">
        <f t="shared" si="2"/>
        <v>667738.28</v>
      </c>
      <c r="N25" s="76">
        <f t="shared" si="2"/>
        <v>100000</v>
      </c>
    </row>
    <row r="26" spans="1:14" ht="25.5" x14ac:dyDescent="0.2">
      <c r="A26" s="157">
        <v>17</v>
      </c>
      <c r="B26" s="165" t="s">
        <v>157</v>
      </c>
      <c r="C26" s="164" t="s">
        <v>182</v>
      </c>
      <c r="D26" s="59" t="s">
        <v>73</v>
      </c>
      <c r="E26" s="59"/>
      <c r="F26" s="69">
        <f>F27</f>
        <v>180</v>
      </c>
      <c r="G26" s="69">
        <f t="shared" si="15"/>
        <v>667.73828000000003</v>
      </c>
      <c r="H26" s="69">
        <f t="shared" si="15"/>
        <v>100</v>
      </c>
      <c r="I26" s="75">
        <f t="shared" si="3"/>
        <v>567.73828000000003</v>
      </c>
      <c r="J26" s="129">
        <f t="shared" si="4"/>
        <v>14.975927394787069</v>
      </c>
      <c r="K26" s="6"/>
      <c r="L26" s="76">
        <f t="shared" si="2"/>
        <v>180000</v>
      </c>
      <c r="M26" s="83">
        <f t="shared" si="2"/>
        <v>667738.28</v>
      </c>
      <c r="N26" s="76">
        <f t="shared" si="2"/>
        <v>100000</v>
      </c>
    </row>
    <row r="27" spans="1:14" ht="12" customHeight="1" x14ac:dyDescent="0.2">
      <c r="A27" s="157">
        <v>18</v>
      </c>
      <c r="B27" s="60" t="s">
        <v>152</v>
      </c>
      <c r="C27" s="164" t="s">
        <v>182</v>
      </c>
      <c r="D27" s="59" t="s">
        <v>73</v>
      </c>
      <c r="E27" s="59" t="s">
        <v>30</v>
      </c>
      <c r="F27" s="69">
        <f>F28</f>
        <v>180</v>
      </c>
      <c r="G27" s="69">
        <f t="shared" si="15"/>
        <v>667.73828000000003</v>
      </c>
      <c r="H27" s="69">
        <f t="shared" si="15"/>
        <v>100</v>
      </c>
      <c r="I27" s="75">
        <f t="shared" si="3"/>
        <v>567.73828000000003</v>
      </c>
      <c r="J27" s="129">
        <f t="shared" si="4"/>
        <v>14.975927394787069</v>
      </c>
      <c r="K27" s="6"/>
      <c r="L27" s="76">
        <f t="shared" si="2"/>
        <v>180000</v>
      </c>
      <c r="M27" s="83">
        <f t="shared" si="2"/>
        <v>667738.28</v>
      </c>
      <c r="N27" s="76">
        <f t="shared" si="2"/>
        <v>100000</v>
      </c>
    </row>
    <row r="28" spans="1:14" x14ac:dyDescent="0.2">
      <c r="A28" s="157">
        <v>19</v>
      </c>
      <c r="B28" s="161" t="s">
        <v>153</v>
      </c>
      <c r="C28" s="164" t="s">
        <v>182</v>
      </c>
      <c r="D28" s="59" t="s">
        <v>73</v>
      </c>
      <c r="E28" s="59" t="s">
        <v>31</v>
      </c>
      <c r="F28" s="69">
        <v>180</v>
      </c>
      <c r="G28" s="74">
        <v>667.73828000000003</v>
      </c>
      <c r="H28" s="74">
        <v>100</v>
      </c>
      <c r="I28" s="75">
        <f t="shared" si="3"/>
        <v>567.73828000000003</v>
      </c>
      <c r="J28" s="129">
        <f t="shared" si="4"/>
        <v>14.975927394787069</v>
      </c>
      <c r="K28" s="6"/>
      <c r="L28" s="76">
        <f t="shared" si="2"/>
        <v>180000</v>
      </c>
      <c r="M28" s="83">
        <f t="shared" si="2"/>
        <v>667738.28</v>
      </c>
      <c r="N28" s="76">
        <f t="shared" si="2"/>
        <v>100000</v>
      </c>
    </row>
    <row r="29" spans="1:14" s="194" customFormat="1" ht="29.25" customHeight="1" x14ac:dyDescent="0.2">
      <c r="A29" s="157">
        <v>20</v>
      </c>
      <c r="B29" s="158" t="s">
        <v>429</v>
      </c>
      <c r="C29" s="159" t="s">
        <v>174</v>
      </c>
      <c r="D29" s="159" t="s">
        <v>155</v>
      </c>
      <c r="E29" s="159" t="s">
        <v>155</v>
      </c>
      <c r="F29" s="163">
        <f>F30</f>
        <v>0</v>
      </c>
      <c r="G29" s="75">
        <f t="shared" ref="G29" si="16">G30</f>
        <v>226</v>
      </c>
      <c r="H29" s="75">
        <f>H30</f>
        <v>0</v>
      </c>
      <c r="I29" s="75">
        <f t="shared" si="3"/>
        <v>226</v>
      </c>
      <c r="J29" s="129">
        <f t="shared" si="4"/>
        <v>0</v>
      </c>
      <c r="K29" s="6"/>
      <c r="L29" s="76">
        <f t="shared" si="2"/>
        <v>0</v>
      </c>
      <c r="M29" s="83">
        <f t="shared" si="2"/>
        <v>226000</v>
      </c>
      <c r="N29" s="76">
        <f t="shared" si="2"/>
        <v>0</v>
      </c>
    </row>
    <row r="30" spans="1:14" x14ac:dyDescent="0.2">
      <c r="A30" s="157">
        <v>21</v>
      </c>
      <c r="B30" s="161" t="s">
        <v>207</v>
      </c>
      <c r="C30" s="162" t="s">
        <v>196</v>
      </c>
      <c r="D30" s="162" t="s">
        <v>155</v>
      </c>
      <c r="E30" s="162" t="s">
        <v>155</v>
      </c>
      <c r="F30" s="163">
        <f t="shared" ref="F30" si="17">F31</f>
        <v>0</v>
      </c>
      <c r="G30" s="163">
        <f>SUM(G31:G31)</f>
        <v>226</v>
      </c>
      <c r="H30" s="163">
        <f>SUM(H31:H31)</f>
        <v>0</v>
      </c>
      <c r="I30" s="75">
        <f t="shared" si="3"/>
        <v>226</v>
      </c>
      <c r="J30" s="129">
        <f t="shared" si="4"/>
        <v>0</v>
      </c>
      <c r="K30" s="6"/>
      <c r="L30" s="76">
        <f t="shared" si="2"/>
        <v>0</v>
      </c>
      <c r="M30" s="76">
        <f t="shared" si="2"/>
        <v>226000</v>
      </c>
      <c r="N30" s="76">
        <f t="shared" si="2"/>
        <v>0</v>
      </c>
    </row>
    <row r="31" spans="1:14" ht="15.75" customHeight="1" x14ac:dyDescent="0.2">
      <c r="A31" s="157">
        <v>22</v>
      </c>
      <c r="B31" s="161" t="s">
        <v>315</v>
      </c>
      <c r="C31" s="164" t="s">
        <v>316</v>
      </c>
      <c r="D31" s="162" t="s">
        <v>155</v>
      </c>
      <c r="E31" s="162" t="s">
        <v>155</v>
      </c>
      <c r="F31" s="163">
        <f>F32</f>
        <v>0</v>
      </c>
      <c r="G31" s="163">
        <f t="shared" ref="G31:H34" si="18">G32</f>
        <v>226</v>
      </c>
      <c r="H31" s="163">
        <f t="shared" si="18"/>
        <v>0</v>
      </c>
      <c r="I31" s="75">
        <f t="shared" si="3"/>
        <v>226</v>
      </c>
      <c r="J31" s="129">
        <f t="shared" si="4"/>
        <v>0</v>
      </c>
      <c r="K31" s="6"/>
      <c r="L31" s="76">
        <f t="shared" ref="L31:L39" si="19">F31*1000</f>
        <v>0</v>
      </c>
      <c r="M31" s="76">
        <f t="shared" ref="M31:M39" si="20">G31*1000</f>
        <v>226000</v>
      </c>
      <c r="N31" s="76">
        <f t="shared" ref="N31:N39" si="21">H31*1000</f>
        <v>0</v>
      </c>
    </row>
    <row r="32" spans="1:14" ht="12.75" customHeight="1" x14ac:dyDescent="0.2">
      <c r="A32" s="157">
        <v>23</v>
      </c>
      <c r="B32" s="165" t="s">
        <v>71</v>
      </c>
      <c r="C32" s="164" t="s">
        <v>316</v>
      </c>
      <c r="D32" s="59" t="s">
        <v>72</v>
      </c>
      <c r="E32" s="59"/>
      <c r="F32" s="69">
        <f>F33</f>
        <v>0</v>
      </c>
      <c r="G32" s="69">
        <f t="shared" si="18"/>
        <v>226</v>
      </c>
      <c r="H32" s="69">
        <f t="shared" si="18"/>
        <v>0</v>
      </c>
      <c r="I32" s="75">
        <f t="shared" si="3"/>
        <v>226</v>
      </c>
      <c r="J32" s="129">
        <f t="shared" si="4"/>
        <v>0</v>
      </c>
      <c r="K32" s="6"/>
      <c r="L32" s="76">
        <f t="shared" si="19"/>
        <v>0</v>
      </c>
      <c r="M32" s="76">
        <f t="shared" si="20"/>
        <v>226000</v>
      </c>
      <c r="N32" s="76">
        <f t="shared" si="21"/>
        <v>0</v>
      </c>
    </row>
    <row r="33" spans="1:14" ht="25.5" customHeight="1" x14ac:dyDescent="0.2">
      <c r="A33" s="157">
        <v>24</v>
      </c>
      <c r="B33" s="165" t="s">
        <v>157</v>
      </c>
      <c r="C33" s="164" t="s">
        <v>236</v>
      </c>
      <c r="D33" s="59" t="s">
        <v>73</v>
      </c>
      <c r="E33" s="59"/>
      <c r="F33" s="69">
        <f>F34</f>
        <v>0</v>
      </c>
      <c r="G33" s="69">
        <f t="shared" si="18"/>
        <v>226</v>
      </c>
      <c r="H33" s="69">
        <f t="shared" si="18"/>
        <v>0</v>
      </c>
      <c r="I33" s="75">
        <f t="shared" si="3"/>
        <v>226</v>
      </c>
      <c r="J33" s="129">
        <f t="shared" si="4"/>
        <v>0</v>
      </c>
      <c r="K33" s="6"/>
      <c r="L33" s="76">
        <f t="shared" si="19"/>
        <v>0</v>
      </c>
      <c r="M33" s="76">
        <f t="shared" si="20"/>
        <v>226000</v>
      </c>
      <c r="N33" s="76">
        <f t="shared" si="21"/>
        <v>0</v>
      </c>
    </row>
    <row r="34" spans="1:14" ht="14.25" customHeight="1" x14ac:dyDescent="0.2">
      <c r="A34" s="157">
        <v>25</v>
      </c>
      <c r="B34" s="62" t="s">
        <v>186</v>
      </c>
      <c r="C34" s="164" t="s">
        <v>236</v>
      </c>
      <c r="D34" s="59" t="s">
        <v>73</v>
      </c>
      <c r="E34" s="59" t="s">
        <v>195</v>
      </c>
      <c r="F34" s="69">
        <f>F35</f>
        <v>0</v>
      </c>
      <c r="G34" s="69">
        <f t="shared" si="18"/>
        <v>226</v>
      </c>
      <c r="H34" s="69">
        <f t="shared" si="18"/>
        <v>0</v>
      </c>
      <c r="I34" s="75">
        <f t="shared" si="3"/>
        <v>226</v>
      </c>
      <c r="J34" s="129">
        <f t="shared" si="4"/>
        <v>0</v>
      </c>
      <c r="K34" s="6"/>
      <c r="L34" s="76">
        <f t="shared" si="19"/>
        <v>0</v>
      </c>
      <c r="M34" s="76">
        <f t="shared" si="20"/>
        <v>226000</v>
      </c>
      <c r="N34" s="76">
        <f t="shared" si="21"/>
        <v>0</v>
      </c>
    </row>
    <row r="35" spans="1:14" ht="12" customHeight="1" x14ac:dyDescent="0.2">
      <c r="A35" s="157">
        <v>26</v>
      </c>
      <c r="B35" s="61" t="s">
        <v>289</v>
      </c>
      <c r="C35" s="164" t="s">
        <v>236</v>
      </c>
      <c r="D35" s="59" t="s">
        <v>73</v>
      </c>
      <c r="E35" s="59" t="s">
        <v>187</v>
      </c>
      <c r="F35" s="163">
        <v>0</v>
      </c>
      <c r="G35" s="163">
        <v>226</v>
      </c>
      <c r="H35" s="163">
        <v>0</v>
      </c>
      <c r="I35" s="75">
        <f t="shared" si="3"/>
        <v>226</v>
      </c>
      <c r="J35" s="129">
        <f t="shared" si="4"/>
        <v>0</v>
      </c>
      <c r="K35" s="6"/>
      <c r="L35" s="76">
        <f t="shared" si="19"/>
        <v>0</v>
      </c>
      <c r="M35" s="76">
        <f t="shared" si="20"/>
        <v>226000</v>
      </c>
      <c r="N35" s="76">
        <f t="shared" si="21"/>
        <v>0</v>
      </c>
    </row>
    <row r="36" spans="1:14" s="249" customFormat="1" ht="40.5" customHeight="1" x14ac:dyDescent="0.2">
      <c r="A36" s="157">
        <v>27</v>
      </c>
      <c r="B36" s="239" t="s">
        <v>430</v>
      </c>
      <c r="C36" s="259" t="s">
        <v>412</v>
      </c>
      <c r="D36" s="110"/>
      <c r="E36" s="110"/>
      <c r="F36" s="167">
        <f>F38</f>
        <v>1</v>
      </c>
      <c r="G36" s="167">
        <f>G38</f>
        <v>1</v>
      </c>
      <c r="H36" s="167">
        <f>H38</f>
        <v>0</v>
      </c>
      <c r="I36" s="75">
        <f t="shared" si="3"/>
        <v>1</v>
      </c>
      <c r="J36" s="129">
        <f t="shared" si="4"/>
        <v>0</v>
      </c>
      <c r="K36" s="6"/>
      <c r="L36" s="76">
        <f t="shared" si="19"/>
        <v>1000</v>
      </c>
      <c r="M36" s="76">
        <f t="shared" si="20"/>
        <v>1000</v>
      </c>
      <c r="N36" s="76">
        <f t="shared" si="21"/>
        <v>0</v>
      </c>
    </row>
    <row r="37" spans="1:14" s="249" customFormat="1" ht="37.5" customHeight="1" x14ac:dyDescent="0.2">
      <c r="A37" s="157">
        <v>28</v>
      </c>
      <c r="B37" s="239" t="s">
        <v>411</v>
      </c>
      <c r="C37" s="37" t="s">
        <v>413</v>
      </c>
      <c r="D37" s="110"/>
      <c r="E37" s="110"/>
      <c r="F37" s="167">
        <f>F38</f>
        <v>1</v>
      </c>
      <c r="G37" s="167">
        <f>G38</f>
        <v>1</v>
      </c>
      <c r="H37" s="167">
        <f t="shared" ref="H37" si="22">H38</f>
        <v>0</v>
      </c>
      <c r="I37" s="75">
        <f t="shared" si="3"/>
        <v>1</v>
      </c>
      <c r="J37" s="129">
        <f t="shared" si="4"/>
        <v>0</v>
      </c>
      <c r="K37" s="6"/>
      <c r="L37" s="76">
        <f t="shared" si="19"/>
        <v>1000</v>
      </c>
      <c r="M37" s="76">
        <f t="shared" si="20"/>
        <v>1000</v>
      </c>
      <c r="N37" s="76">
        <f t="shared" si="21"/>
        <v>0</v>
      </c>
    </row>
    <row r="38" spans="1:14" s="249" customFormat="1" ht="16.5" customHeight="1" x14ac:dyDescent="0.2">
      <c r="A38" s="157">
        <v>29</v>
      </c>
      <c r="B38" s="108" t="s">
        <v>71</v>
      </c>
      <c r="C38" s="37" t="s">
        <v>406</v>
      </c>
      <c r="D38" s="110" t="s">
        <v>72</v>
      </c>
      <c r="E38" s="110" t="s">
        <v>195</v>
      </c>
      <c r="F38" s="167">
        <f>F39</f>
        <v>1</v>
      </c>
      <c r="G38" s="167">
        <f>G39</f>
        <v>1</v>
      </c>
      <c r="H38" s="167">
        <f>H39</f>
        <v>0</v>
      </c>
      <c r="I38" s="75">
        <f t="shared" si="3"/>
        <v>1</v>
      </c>
      <c r="J38" s="129">
        <f t="shared" si="4"/>
        <v>0</v>
      </c>
      <c r="K38" s="6"/>
      <c r="L38" s="76">
        <f t="shared" si="19"/>
        <v>1000</v>
      </c>
      <c r="M38" s="76">
        <f t="shared" si="20"/>
        <v>1000</v>
      </c>
      <c r="N38" s="76">
        <f t="shared" si="21"/>
        <v>0</v>
      </c>
    </row>
    <row r="39" spans="1:14" s="249" customFormat="1" ht="12" customHeight="1" x14ac:dyDescent="0.2">
      <c r="A39" s="157">
        <v>30</v>
      </c>
      <c r="B39" s="108" t="s">
        <v>157</v>
      </c>
      <c r="C39" s="37" t="s">
        <v>406</v>
      </c>
      <c r="D39" s="110" t="s">
        <v>73</v>
      </c>
      <c r="E39" s="110" t="s">
        <v>233</v>
      </c>
      <c r="F39" s="167">
        <v>1</v>
      </c>
      <c r="G39" s="167">
        <v>1</v>
      </c>
      <c r="H39" s="167">
        <v>0</v>
      </c>
      <c r="I39" s="75">
        <f t="shared" si="3"/>
        <v>1</v>
      </c>
      <c r="J39" s="129">
        <f t="shared" si="4"/>
        <v>0</v>
      </c>
      <c r="K39" s="6"/>
      <c r="L39" s="76">
        <f t="shared" si="19"/>
        <v>1000</v>
      </c>
      <c r="M39" s="76">
        <f t="shared" si="20"/>
        <v>1000</v>
      </c>
      <c r="N39" s="76">
        <f t="shared" si="21"/>
        <v>0</v>
      </c>
    </row>
    <row r="40" spans="1:14" ht="12.75" customHeight="1" x14ac:dyDescent="0.2">
      <c r="A40" s="157">
        <v>31</v>
      </c>
      <c r="B40" s="63" t="s">
        <v>140</v>
      </c>
      <c r="C40" s="162">
        <v>6100000000</v>
      </c>
      <c r="D40" s="106"/>
      <c r="E40" s="106"/>
      <c r="F40" s="107">
        <f>F41</f>
        <v>948.13982999999996</v>
      </c>
      <c r="G40" s="107">
        <f>G41</f>
        <v>948.13982999999996</v>
      </c>
      <c r="H40" s="107">
        <f t="shared" ref="G40:H50" si="23">H41</f>
        <v>176.68997999999999</v>
      </c>
      <c r="I40" s="75">
        <f t="shared" si="3"/>
        <v>771.44984999999997</v>
      </c>
      <c r="J40" s="129">
        <f t="shared" si="4"/>
        <v>18.635434817668191</v>
      </c>
      <c r="K40" s="6"/>
      <c r="L40" s="76">
        <f t="shared" si="2"/>
        <v>948139.83</v>
      </c>
      <c r="M40" s="76">
        <f t="shared" si="2"/>
        <v>948139.83</v>
      </c>
      <c r="N40" s="76">
        <f t="shared" si="2"/>
        <v>176689.97999999998</v>
      </c>
    </row>
    <row r="41" spans="1:14" ht="25.5" customHeight="1" x14ac:dyDescent="0.2">
      <c r="A41" s="157">
        <v>32</v>
      </c>
      <c r="B41" s="62" t="s">
        <v>141</v>
      </c>
      <c r="C41" s="162" t="s">
        <v>227</v>
      </c>
      <c r="D41" s="64"/>
      <c r="E41" s="64"/>
      <c r="F41" s="107">
        <f>F42</f>
        <v>948.13982999999996</v>
      </c>
      <c r="G41" s="163">
        <f>G42</f>
        <v>948.13982999999996</v>
      </c>
      <c r="H41" s="163">
        <f t="shared" si="23"/>
        <v>176.68997999999999</v>
      </c>
      <c r="I41" s="75">
        <f t="shared" si="3"/>
        <v>771.44984999999997</v>
      </c>
      <c r="J41" s="129">
        <f t="shared" si="4"/>
        <v>18.635434817668191</v>
      </c>
      <c r="K41" s="6"/>
      <c r="L41" s="76">
        <f t="shared" si="2"/>
        <v>948139.83</v>
      </c>
      <c r="M41" s="76">
        <f t="shared" si="2"/>
        <v>948139.83</v>
      </c>
      <c r="N41" s="76">
        <f t="shared" si="2"/>
        <v>176689.97999999998</v>
      </c>
    </row>
    <row r="42" spans="1:14" ht="40.5" customHeight="1" x14ac:dyDescent="0.2">
      <c r="A42" s="157">
        <v>33</v>
      </c>
      <c r="B42" s="62" t="s">
        <v>69</v>
      </c>
      <c r="C42" s="162" t="s">
        <v>168</v>
      </c>
      <c r="D42" s="64" t="s">
        <v>70</v>
      </c>
      <c r="E42" s="64"/>
      <c r="F42" s="107">
        <f t="shared" ref="F42:F44" si="24">F43</f>
        <v>948.13982999999996</v>
      </c>
      <c r="G42" s="163">
        <f>G43</f>
        <v>948.13982999999996</v>
      </c>
      <c r="H42" s="163">
        <f t="shared" si="23"/>
        <v>176.68997999999999</v>
      </c>
      <c r="I42" s="75">
        <f t="shared" si="3"/>
        <v>771.44984999999997</v>
      </c>
      <c r="J42" s="129">
        <f t="shared" si="4"/>
        <v>18.635434817668191</v>
      </c>
      <c r="K42" s="6"/>
      <c r="L42" s="76">
        <f t="shared" si="2"/>
        <v>948139.83</v>
      </c>
      <c r="M42" s="76">
        <f t="shared" si="2"/>
        <v>948139.83</v>
      </c>
      <c r="N42" s="76">
        <f t="shared" si="2"/>
        <v>176689.97999999998</v>
      </c>
    </row>
    <row r="43" spans="1:14" ht="15.75" customHeight="1" x14ac:dyDescent="0.2">
      <c r="A43" s="157">
        <v>34</v>
      </c>
      <c r="B43" s="62" t="s">
        <v>158</v>
      </c>
      <c r="C43" s="162" t="s">
        <v>168</v>
      </c>
      <c r="D43" s="64" t="s">
        <v>74</v>
      </c>
      <c r="E43" s="64"/>
      <c r="F43" s="107">
        <f t="shared" si="24"/>
        <v>948.13982999999996</v>
      </c>
      <c r="G43" s="163">
        <f t="shared" si="23"/>
        <v>948.13982999999996</v>
      </c>
      <c r="H43" s="163">
        <f t="shared" si="23"/>
        <v>176.68997999999999</v>
      </c>
      <c r="I43" s="75">
        <f t="shared" si="3"/>
        <v>771.44984999999997</v>
      </c>
      <c r="J43" s="129">
        <f t="shared" si="4"/>
        <v>18.635434817668191</v>
      </c>
      <c r="K43" s="6"/>
      <c r="L43" s="76">
        <f t="shared" si="2"/>
        <v>948139.83</v>
      </c>
      <c r="M43" s="76">
        <f t="shared" si="2"/>
        <v>948139.83</v>
      </c>
      <c r="N43" s="76">
        <f t="shared" si="2"/>
        <v>176689.97999999998</v>
      </c>
    </row>
    <row r="44" spans="1:14" ht="15" customHeight="1" x14ac:dyDescent="0.2">
      <c r="A44" s="157">
        <v>35</v>
      </c>
      <c r="B44" s="108" t="s">
        <v>287</v>
      </c>
      <c r="C44" s="162" t="s">
        <v>168</v>
      </c>
      <c r="D44" s="64" t="s">
        <v>74</v>
      </c>
      <c r="E44" s="64" t="s">
        <v>24</v>
      </c>
      <c r="F44" s="107">
        <f t="shared" si="24"/>
        <v>948.13982999999996</v>
      </c>
      <c r="G44" s="163">
        <f t="shared" si="23"/>
        <v>948.13982999999996</v>
      </c>
      <c r="H44" s="163">
        <f t="shared" si="23"/>
        <v>176.68997999999999</v>
      </c>
      <c r="I44" s="75">
        <f t="shared" si="3"/>
        <v>771.44984999999997</v>
      </c>
      <c r="J44" s="129">
        <f t="shared" si="4"/>
        <v>18.635434817668191</v>
      </c>
      <c r="K44" s="6"/>
      <c r="L44" s="76">
        <f t="shared" si="2"/>
        <v>948139.83</v>
      </c>
      <c r="M44" s="76">
        <f t="shared" si="2"/>
        <v>948139.83</v>
      </c>
      <c r="N44" s="76">
        <f t="shared" si="2"/>
        <v>176689.97999999998</v>
      </c>
    </row>
    <row r="45" spans="1:14" ht="25.5" customHeight="1" x14ac:dyDescent="0.2">
      <c r="A45" s="157">
        <v>36</v>
      </c>
      <c r="B45" s="62" t="s">
        <v>18</v>
      </c>
      <c r="C45" s="162" t="s">
        <v>168</v>
      </c>
      <c r="D45" s="64" t="s">
        <v>74</v>
      </c>
      <c r="E45" s="64" t="s">
        <v>25</v>
      </c>
      <c r="F45" s="107">
        <f>(722073.6+218066.23+3000+5000)/1000</f>
        <v>948.13982999999996</v>
      </c>
      <c r="G45" s="107">
        <f>(722073.6+218066.23+3000+5000)/1000</f>
        <v>948.13982999999996</v>
      </c>
      <c r="H45" s="163">
        <f>140.3456+36.34438</f>
        <v>176.68997999999999</v>
      </c>
      <c r="I45" s="75">
        <f t="shared" si="3"/>
        <v>771.44984999999997</v>
      </c>
      <c r="J45" s="129">
        <f t="shared" si="4"/>
        <v>18.635434817668191</v>
      </c>
      <c r="K45" s="6"/>
      <c r="L45" s="76">
        <f t="shared" ref="L45:L48" si="25">F45*1000</f>
        <v>948139.83</v>
      </c>
      <c r="M45" s="76">
        <f t="shared" ref="M45:M48" si="26">G45*1000</f>
        <v>948139.83</v>
      </c>
      <c r="N45" s="76">
        <f t="shared" ref="N45:N48" si="27">H45*1000</f>
        <v>176689.97999999998</v>
      </c>
    </row>
    <row r="46" spans="1:14" x14ac:dyDescent="0.2">
      <c r="A46" s="157">
        <v>37</v>
      </c>
      <c r="B46" s="63" t="s">
        <v>140</v>
      </c>
      <c r="C46" s="162">
        <v>6200000000</v>
      </c>
      <c r="D46" s="64"/>
      <c r="E46" s="64"/>
      <c r="F46" s="107">
        <f>F47</f>
        <v>783.44985999999994</v>
      </c>
      <c r="G46" s="107">
        <f>G47</f>
        <v>783.44985999999994</v>
      </c>
      <c r="H46" s="107">
        <f t="shared" ref="H46" si="28">H47</f>
        <v>163.63247000000001</v>
      </c>
      <c r="I46" s="75">
        <f t="shared" si="3"/>
        <v>619.81738999999993</v>
      </c>
      <c r="J46" s="129">
        <f t="shared" si="4"/>
        <v>20.886144519829262</v>
      </c>
      <c r="K46" s="6"/>
      <c r="L46" s="76">
        <f t="shared" si="25"/>
        <v>783449.86</v>
      </c>
      <c r="M46" s="76">
        <f t="shared" si="26"/>
        <v>783449.86</v>
      </c>
      <c r="N46" s="76">
        <f t="shared" si="27"/>
        <v>163632.47</v>
      </c>
    </row>
    <row r="47" spans="1:14" x14ac:dyDescent="0.2">
      <c r="A47" s="157">
        <v>38</v>
      </c>
      <c r="B47" s="62" t="s">
        <v>142</v>
      </c>
      <c r="C47" s="162" t="s">
        <v>317</v>
      </c>
      <c r="D47" s="64"/>
      <c r="E47" s="64"/>
      <c r="F47" s="107">
        <f>F48</f>
        <v>783.44985999999994</v>
      </c>
      <c r="G47" s="163">
        <f t="shared" si="23"/>
        <v>783.44985999999994</v>
      </c>
      <c r="H47" s="163">
        <f t="shared" si="23"/>
        <v>163.63247000000001</v>
      </c>
      <c r="I47" s="75">
        <f t="shared" si="3"/>
        <v>619.81738999999993</v>
      </c>
      <c r="J47" s="129">
        <f t="shared" si="4"/>
        <v>20.886144519829262</v>
      </c>
      <c r="K47" s="6"/>
      <c r="L47" s="76">
        <f t="shared" si="25"/>
        <v>783449.86</v>
      </c>
      <c r="M47" s="76">
        <f t="shared" si="26"/>
        <v>783449.86</v>
      </c>
      <c r="N47" s="76">
        <f t="shared" si="27"/>
        <v>163632.47</v>
      </c>
    </row>
    <row r="48" spans="1:14" ht="38.25" x14ac:dyDescent="0.2">
      <c r="A48" s="157">
        <v>39</v>
      </c>
      <c r="B48" s="62" t="s">
        <v>69</v>
      </c>
      <c r="C48" s="162" t="s">
        <v>169</v>
      </c>
      <c r="D48" s="64" t="s">
        <v>70</v>
      </c>
      <c r="E48" s="64"/>
      <c r="F48" s="107">
        <f t="shared" ref="F48" si="29">F49</f>
        <v>783.44985999999994</v>
      </c>
      <c r="G48" s="163">
        <f t="shared" si="23"/>
        <v>783.44985999999994</v>
      </c>
      <c r="H48" s="163">
        <f t="shared" si="23"/>
        <v>163.63247000000001</v>
      </c>
      <c r="I48" s="75">
        <f t="shared" si="3"/>
        <v>619.81738999999993</v>
      </c>
      <c r="J48" s="129">
        <f t="shared" si="4"/>
        <v>20.886144519829262</v>
      </c>
      <c r="K48" s="6"/>
      <c r="L48" s="76">
        <f t="shared" si="25"/>
        <v>783449.86</v>
      </c>
      <c r="M48" s="76">
        <f t="shared" si="26"/>
        <v>783449.86</v>
      </c>
      <c r="N48" s="76">
        <f t="shared" si="27"/>
        <v>163632.47</v>
      </c>
    </row>
    <row r="49" spans="1:14" x14ac:dyDescent="0.2">
      <c r="A49" s="157">
        <v>40</v>
      </c>
      <c r="B49" s="62" t="s">
        <v>158</v>
      </c>
      <c r="C49" s="162" t="s">
        <v>169</v>
      </c>
      <c r="D49" s="64" t="s">
        <v>74</v>
      </c>
      <c r="E49" s="64"/>
      <c r="F49" s="107">
        <f>F50</f>
        <v>783.44985999999994</v>
      </c>
      <c r="G49" s="107">
        <f t="shared" si="23"/>
        <v>783.44985999999994</v>
      </c>
      <c r="H49" s="107">
        <f t="shared" si="23"/>
        <v>163.63247000000001</v>
      </c>
      <c r="I49" s="75">
        <f t="shared" si="3"/>
        <v>619.81738999999993</v>
      </c>
      <c r="J49" s="129">
        <f t="shared" si="4"/>
        <v>20.886144519829262</v>
      </c>
      <c r="K49" s="6"/>
      <c r="L49" s="76">
        <f t="shared" si="2"/>
        <v>783449.86</v>
      </c>
      <c r="M49" s="76">
        <f t="shared" si="2"/>
        <v>783449.86</v>
      </c>
      <c r="N49" s="76">
        <f t="shared" si="2"/>
        <v>163632.47</v>
      </c>
    </row>
    <row r="50" spans="1:14" x14ac:dyDescent="0.2">
      <c r="A50" s="157">
        <v>41</v>
      </c>
      <c r="B50" s="108" t="s">
        <v>287</v>
      </c>
      <c r="C50" s="162" t="s">
        <v>169</v>
      </c>
      <c r="D50" s="64" t="s">
        <v>74</v>
      </c>
      <c r="E50" s="64" t="s">
        <v>24</v>
      </c>
      <c r="F50" s="107">
        <f>F51</f>
        <v>783.44985999999994</v>
      </c>
      <c r="G50" s="107">
        <f t="shared" si="23"/>
        <v>783.44985999999994</v>
      </c>
      <c r="H50" s="107">
        <f t="shared" si="23"/>
        <v>163.63247000000001</v>
      </c>
      <c r="I50" s="75">
        <f t="shared" si="3"/>
        <v>619.81738999999993</v>
      </c>
      <c r="J50" s="129">
        <f t="shared" si="4"/>
        <v>20.886144519829262</v>
      </c>
      <c r="K50" s="236"/>
      <c r="L50" s="76">
        <f t="shared" si="2"/>
        <v>783449.86</v>
      </c>
      <c r="M50" s="76">
        <f t="shared" si="2"/>
        <v>783449.86</v>
      </c>
      <c r="N50" s="76">
        <f t="shared" si="2"/>
        <v>163632.47</v>
      </c>
    </row>
    <row r="51" spans="1:14" ht="24" customHeight="1" x14ac:dyDescent="0.2">
      <c r="A51" s="157">
        <v>42</v>
      </c>
      <c r="B51" s="62" t="s">
        <v>18</v>
      </c>
      <c r="C51" s="162" t="s">
        <v>169</v>
      </c>
      <c r="D51" s="64" t="s">
        <v>74</v>
      </c>
      <c r="E51" s="64" t="s">
        <v>26</v>
      </c>
      <c r="F51" s="107">
        <f>(601728+181721.86)/1000</f>
        <v>783.44985999999994</v>
      </c>
      <c r="G51" s="163">
        <f>601.728+181.72186</f>
        <v>783.44985999999994</v>
      </c>
      <c r="H51" s="163">
        <f>130.3168+33.31567</f>
        <v>163.63247000000001</v>
      </c>
      <c r="I51" s="75">
        <f t="shared" si="3"/>
        <v>619.81738999999993</v>
      </c>
      <c r="J51" s="129">
        <f t="shared" si="4"/>
        <v>20.886144519829262</v>
      </c>
      <c r="K51" s="236"/>
      <c r="L51" s="76">
        <f t="shared" si="2"/>
        <v>783449.86</v>
      </c>
      <c r="M51" s="76">
        <f t="shared" si="2"/>
        <v>783449.86</v>
      </c>
      <c r="N51" s="76">
        <f t="shared" si="2"/>
        <v>163632.47</v>
      </c>
    </row>
    <row r="52" spans="1:14" x14ac:dyDescent="0.2">
      <c r="A52" s="157">
        <v>43</v>
      </c>
      <c r="B52" s="65" t="s">
        <v>145</v>
      </c>
      <c r="C52" s="162">
        <v>6300000000</v>
      </c>
      <c r="D52" s="59"/>
      <c r="E52" s="59"/>
      <c r="F52" s="69">
        <f>F53+F66+F70</f>
        <v>5208.0864600000004</v>
      </c>
      <c r="G52" s="69">
        <f t="shared" ref="G52:H52" si="30">G53+G66+G70</f>
        <v>5311.3564599999991</v>
      </c>
      <c r="H52" s="69">
        <f t="shared" si="30"/>
        <v>1194.9077500000001</v>
      </c>
      <c r="I52" s="75">
        <f t="shared" si="3"/>
        <v>4116.4487099999988</v>
      </c>
      <c r="J52" s="129">
        <f t="shared" si="4"/>
        <v>22.497223807117635</v>
      </c>
      <c r="K52" s="236"/>
      <c r="L52" s="76">
        <f t="shared" si="2"/>
        <v>5208086.4600000009</v>
      </c>
      <c r="M52" s="76">
        <f t="shared" si="2"/>
        <v>5311356.459999999</v>
      </c>
      <c r="N52" s="76">
        <f t="shared" si="2"/>
        <v>1194907.75</v>
      </c>
    </row>
    <row r="53" spans="1:14" ht="42.75" customHeight="1" x14ac:dyDescent="0.2">
      <c r="A53" s="157">
        <v>44</v>
      </c>
      <c r="B53" s="66" t="s">
        <v>159</v>
      </c>
      <c r="C53" s="162">
        <v>6300080210</v>
      </c>
      <c r="D53" s="59"/>
      <c r="E53" s="59"/>
      <c r="F53" s="69">
        <f>F54+F62+F58</f>
        <v>5114.4074600000004</v>
      </c>
      <c r="G53" s="69">
        <f>G54+G62+G58</f>
        <v>5217.677459999999</v>
      </c>
      <c r="H53" s="69">
        <f>H54+H62+H58</f>
        <v>1149.04025</v>
      </c>
      <c r="I53" s="75">
        <f t="shared" si="3"/>
        <v>4068.637209999999</v>
      </c>
      <c r="J53" s="129">
        <f t="shared" si="4"/>
        <v>22.022063625220717</v>
      </c>
      <c r="K53" s="236"/>
      <c r="L53" s="76">
        <f t="shared" si="2"/>
        <v>5114407.46</v>
      </c>
      <c r="M53" s="76">
        <f t="shared" si="2"/>
        <v>5217677.459999999</v>
      </c>
      <c r="N53" s="76">
        <f t="shared" si="2"/>
        <v>1149040.25</v>
      </c>
    </row>
    <row r="54" spans="1:14" ht="38.25" x14ac:dyDescent="0.2">
      <c r="A54" s="157">
        <v>45</v>
      </c>
      <c r="B54" s="62" t="s">
        <v>69</v>
      </c>
      <c r="C54" s="162">
        <v>6300080210</v>
      </c>
      <c r="D54" s="59" t="s">
        <v>70</v>
      </c>
      <c r="E54" s="59"/>
      <c r="F54" s="69">
        <f>F55</f>
        <v>3891.9985899999997</v>
      </c>
      <c r="G54" s="69">
        <f t="shared" ref="G54:H60" si="31">G55</f>
        <v>3891.9985899999997</v>
      </c>
      <c r="H54" s="69">
        <f>H55</f>
        <v>618.23604</v>
      </c>
      <c r="I54" s="75">
        <f t="shared" si="3"/>
        <v>3273.7625499999995</v>
      </c>
      <c r="J54" s="129">
        <f t="shared" si="4"/>
        <v>15.884796093926642</v>
      </c>
      <c r="K54" s="236"/>
      <c r="L54" s="76">
        <f t="shared" si="2"/>
        <v>3891998.59</v>
      </c>
      <c r="M54" s="76">
        <f t="shared" si="2"/>
        <v>3891998.59</v>
      </c>
      <c r="N54" s="76">
        <f t="shared" si="2"/>
        <v>618236.04</v>
      </c>
    </row>
    <row r="55" spans="1:14" x14ac:dyDescent="0.2">
      <c r="A55" s="157">
        <v>46</v>
      </c>
      <c r="B55" s="62" t="s">
        <v>158</v>
      </c>
      <c r="C55" s="162">
        <v>6300080210</v>
      </c>
      <c r="D55" s="59" t="s">
        <v>74</v>
      </c>
      <c r="E55" s="59"/>
      <c r="F55" s="69">
        <f>F56</f>
        <v>3891.9985899999997</v>
      </c>
      <c r="G55" s="69">
        <f t="shared" si="31"/>
        <v>3891.9985899999997</v>
      </c>
      <c r="H55" s="69">
        <f t="shared" si="31"/>
        <v>618.23604</v>
      </c>
      <c r="I55" s="75">
        <f t="shared" si="3"/>
        <v>3273.7625499999995</v>
      </c>
      <c r="J55" s="129">
        <f t="shared" si="4"/>
        <v>15.884796093926642</v>
      </c>
      <c r="K55" s="236"/>
      <c r="L55" s="76">
        <f t="shared" ref="L55:L58" si="32">F55*1000</f>
        <v>3891998.59</v>
      </c>
      <c r="M55" s="76">
        <f t="shared" ref="M55:M58" si="33">G55*1000</f>
        <v>3891998.59</v>
      </c>
      <c r="N55" s="76">
        <f t="shared" ref="N55:N58" si="34">H55*1000</f>
        <v>618236.04</v>
      </c>
    </row>
    <row r="56" spans="1:14" x14ac:dyDescent="0.2">
      <c r="A56" s="157">
        <v>47</v>
      </c>
      <c r="B56" s="108" t="s">
        <v>287</v>
      </c>
      <c r="C56" s="162">
        <v>6300080210</v>
      </c>
      <c r="D56" s="59" t="s">
        <v>74</v>
      </c>
      <c r="E56" s="59" t="s">
        <v>24</v>
      </c>
      <c r="F56" s="69">
        <f t="shared" ref="F56" si="35">F57</f>
        <v>3891.9985899999997</v>
      </c>
      <c r="G56" s="163">
        <f t="shared" si="31"/>
        <v>3891.9985899999997</v>
      </c>
      <c r="H56" s="163">
        <f t="shared" si="31"/>
        <v>618.23604</v>
      </c>
      <c r="I56" s="75">
        <f t="shared" si="3"/>
        <v>3273.7625499999995</v>
      </c>
      <c r="J56" s="129">
        <f t="shared" si="4"/>
        <v>15.884796093926642</v>
      </c>
      <c r="K56" s="236"/>
      <c r="L56" s="76">
        <f t="shared" si="32"/>
        <v>3891998.59</v>
      </c>
      <c r="M56" s="76">
        <f t="shared" si="33"/>
        <v>3891998.59</v>
      </c>
      <c r="N56" s="76">
        <f t="shared" si="34"/>
        <v>618236.04</v>
      </c>
    </row>
    <row r="57" spans="1:14" ht="38.25" x14ac:dyDescent="0.2">
      <c r="A57" s="157">
        <v>48</v>
      </c>
      <c r="B57" s="62" t="s">
        <v>20</v>
      </c>
      <c r="C57" s="162">
        <v>6300080210</v>
      </c>
      <c r="D57" s="59" t="s">
        <v>74</v>
      </c>
      <c r="E57" s="59" t="s">
        <v>27</v>
      </c>
      <c r="F57" s="163">
        <f>(2989246.23+902752.36)/1000</f>
        <v>3891.9985899999997</v>
      </c>
      <c r="G57" s="163">
        <f>2982.89067+6.35556+902.75236</f>
        <v>3891.9985899999997</v>
      </c>
      <c r="H57" s="163">
        <f>485.49605+6.35556+126.38443</f>
        <v>618.23604</v>
      </c>
      <c r="I57" s="75">
        <f t="shared" si="3"/>
        <v>3273.7625499999995</v>
      </c>
      <c r="J57" s="129">
        <f t="shared" si="4"/>
        <v>15.884796093926642</v>
      </c>
      <c r="K57" s="236"/>
      <c r="L57" s="76">
        <f t="shared" si="32"/>
        <v>3891998.59</v>
      </c>
      <c r="M57" s="76">
        <f t="shared" si="33"/>
        <v>3891998.59</v>
      </c>
      <c r="N57" s="76">
        <f t="shared" si="34"/>
        <v>618236.04</v>
      </c>
    </row>
    <row r="58" spans="1:14" ht="38.25" x14ac:dyDescent="0.2">
      <c r="A58" s="157">
        <v>49</v>
      </c>
      <c r="B58" s="62" t="s">
        <v>279</v>
      </c>
      <c r="C58" s="162">
        <v>6300092350</v>
      </c>
      <c r="D58" s="59" t="s">
        <v>70</v>
      </c>
      <c r="E58" s="59"/>
      <c r="F58" s="69">
        <f>F59</f>
        <v>0</v>
      </c>
      <c r="G58" s="69">
        <f t="shared" si="31"/>
        <v>20.57</v>
      </c>
      <c r="H58" s="69">
        <f t="shared" si="31"/>
        <v>4.5739999999999998</v>
      </c>
      <c r="I58" s="75">
        <f t="shared" si="3"/>
        <v>15.996</v>
      </c>
      <c r="J58" s="129">
        <f t="shared" si="4"/>
        <v>22.236266407389401</v>
      </c>
      <c r="K58" s="236"/>
      <c r="L58" s="76">
        <f t="shared" si="32"/>
        <v>0</v>
      </c>
      <c r="M58" s="76">
        <f t="shared" si="33"/>
        <v>20570</v>
      </c>
      <c r="N58" s="76">
        <f t="shared" si="34"/>
        <v>4574</v>
      </c>
    </row>
    <row r="59" spans="1:14" ht="25.5" x14ac:dyDescent="0.2">
      <c r="A59" s="157">
        <v>50</v>
      </c>
      <c r="B59" s="62" t="s">
        <v>318</v>
      </c>
      <c r="C59" s="162">
        <v>6300092350</v>
      </c>
      <c r="D59" s="59" t="s">
        <v>74</v>
      </c>
      <c r="E59" s="59"/>
      <c r="F59" s="69">
        <f>F60</f>
        <v>0</v>
      </c>
      <c r="G59" s="69">
        <f t="shared" si="31"/>
        <v>20.57</v>
      </c>
      <c r="H59" s="69">
        <f t="shared" si="31"/>
        <v>4.5739999999999998</v>
      </c>
      <c r="I59" s="75">
        <f t="shared" si="3"/>
        <v>15.996</v>
      </c>
      <c r="J59" s="129">
        <f t="shared" si="4"/>
        <v>22.236266407389401</v>
      </c>
      <c r="K59" s="236"/>
      <c r="L59" s="76">
        <f t="shared" si="2"/>
        <v>0</v>
      </c>
      <c r="M59" s="76">
        <f t="shared" si="2"/>
        <v>20570</v>
      </c>
      <c r="N59" s="76">
        <f t="shared" si="2"/>
        <v>4574</v>
      </c>
    </row>
    <row r="60" spans="1:14" x14ac:dyDescent="0.2">
      <c r="A60" s="157">
        <v>51</v>
      </c>
      <c r="B60" s="108" t="s">
        <v>287</v>
      </c>
      <c r="C60" s="162">
        <v>6300092350</v>
      </c>
      <c r="D60" s="59" t="s">
        <v>74</v>
      </c>
      <c r="E60" s="59" t="s">
        <v>24</v>
      </c>
      <c r="F60" s="69">
        <f>F61</f>
        <v>0</v>
      </c>
      <c r="G60" s="69">
        <f t="shared" si="31"/>
        <v>20.57</v>
      </c>
      <c r="H60" s="69">
        <f t="shared" si="31"/>
        <v>4.5739999999999998</v>
      </c>
      <c r="I60" s="75">
        <f t="shared" si="3"/>
        <v>15.996</v>
      </c>
      <c r="J60" s="129">
        <f t="shared" si="4"/>
        <v>22.236266407389401</v>
      </c>
      <c r="K60" s="236"/>
      <c r="L60" s="76">
        <f t="shared" si="2"/>
        <v>0</v>
      </c>
      <c r="M60" s="76">
        <f t="shared" si="2"/>
        <v>20570</v>
      </c>
      <c r="N60" s="76">
        <f t="shared" si="2"/>
        <v>4574</v>
      </c>
    </row>
    <row r="61" spans="1:14" ht="38.25" x14ac:dyDescent="0.2">
      <c r="A61" s="157">
        <v>52</v>
      </c>
      <c r="B61" s="62" t="s">
        <v>20</v>
      </c>
      <c r="C61" s="162">
        <v>6300092350</v>
      </c>
      <c r="D61" s="59" t="s">
        <v>74</v>
      </c>
      <c r="E61" s="59" t="s">
        <v>27</v>
      </c>
      <c r="F61" s="163">
        <v>0</v>
      </c>
      <c r="G61" s="163">
        <f>15.799+4.771</f>
        <v>20.57</v>
      </c>
      <c r="H61" s="163">
        <f>3.512+1.062</f>
        <v>4.5739999999999998</v>
      </c>
      <c r="I61" s="75">
        <f t="shared" si="3"/>
        <v>15.996</v>
      </c>
      <c r="J61" s="129">
        <f t="shared" si="4"/>
        <v>22.236266407389401</v>
      </c>
      <c r="K61" s="236"/>
      <c r="L61" s="76">
        <f t="shared" si="2"/>
        <v>0</v>
      </c>
      <c r="M61" s="76">
        <f t="shared" si="2"/>
        <v>20570</v>
      </c>
      <c r="N61" s="76">
        <f t="shared" si="2"/>
        <v>4574</v>
      </c>
    </row>
    <row r="62" spans="1:14" x14ac:dyDescent="0.2">
      <c r="A62" s="157">
        <v>53</v>
      </c>
      <c r="B62" s="165" t="s">
        <v>71</v>
      </c>
      <c r="C62" s="162">
        <v>6300080210</v>
      </c>
      <c r="D62" s="59" t="s">
        <v>72</v>
      </c>
      <c r="E62" s="59"/>
      <c r="F62" s="69">
        <f>F63</f>
        <v>1222.4088700000002</v>
      </c>
      <c r="G62" s="69">
        <f>G63</f>
        <v>1305.10887</v>
      </c>
      <c r="H62" s="69">
        <f>H63</f>
        <v>526.23020999999994</v>
      </c>
      <c r="I62" s="75">
        <f t="shared" si="3"/>
        <v>778.87866000000008</v>
      </c>
      <c r="J62" s="129">
        <f t="shared" si="4"/>
        <v>40.3207902494755</v>
      </c>
      <c r="K62" s="236"/>
      <c r="L62" s="76">
        <f t="shared" si="2"/>
        <v>1222408.8700000001</v>
      </c>
      <c r="M62" s="76">
        <f t="shared" si="2"/>
        <v>1305108.8700000001</v>
      </c>
      <c r="N62" s="76">
        <f t="shared" si="2"/>
        <v>526230.21</v>
      </c>
    </row>
    <row r="63" spans="1:14" ht="25.5" x14ac:dyDescent="0.2">
      <c r="A63" s="157">
        <v>54</v>
      </c>
      <c r="B63" s="165" t="s">
        <v>157</v>
      </c>
      <c r="C63" s="162">
        <v>6300080210</v>
      </c>
      <c r="D63" s="59" t="s">
        <v>73</v>
      </c>
      <c r="E63" s="59"/>
      <c r="F63" s="69">
        <f>F64</f>
        <v>1222.4088700000002</v>
      </c>
      <c r="G63" s="69">
        <f t="shared" ref="G63:H64" si="36">G64</f>
        <v>1305.10887</v>
      </c>
      <c r="H63" s="69">
        <f t="shared" si="36"/>
        <v>526.23020999999994</v>
      </c>
      <c r="I63" s="75">
        <f t="shared" si="3"/>
        <v>778.87866000000008</v>
      </c>
      <c r="J63" s="129">
        <f t="shared" si="4"/>
        <v>40.3207902494755</v>
      </c>
      <c r="K63" s="236"/>
      <c r="L63" s="76">
        <f t="shared" si="2"/>
        <v>1222408.8700000001</v>
      </c>
      <c r="M63" s="76">
        <f t="shared" si="2"/>
        <v>1305108.8700000001</v>
      </c>
      <c r="N63" s="76">
        <f t="shared" si="2"/>
        <v>526230.21</v>
      </c>
    </row>
    <row r="64" spans="1:14" x14ac:dyDescent="0.2">
      <c r="A64" s="157">
        <v>55</v>
      </c>
      <c r="B64" s="108" t="s">
        <v>287</v>
      </c>
      <c r="C64" s="162">
        <v>6300080210</v>
      </c>
      <c r="D64" s="59" t="s">
        <v>73</v>
      </c>
      <c r="E64" s="59" t="s">
        <v>24</v>
      </c>
      <c r="F64" s="69">
        <f>F65</f>
        <v>1222.4088700000002</v>
      </c>
      <c r="G64" s="69">
        <f t="shared" si="36"/>
        <v>1305.10887</v>
      </c>
      <c r="H64" s="69">
        <f t="shared" si="36"/>
        <v>526.23020999999994</v>
      </c>
      <c r="I64" s="75">
        <f t="shared" si="3"/>
        <v>778.87866000000008</v>
      </c>
      <c r="J64" s="129">
        <f t="shared" si="4"/>
        <v>40.3207902494755</v>
      </c>
      <c r="K64" s="236"/>
      <c r="L64" s="76">
        <f t="shared" si="2"/>
        <v>1222408.8700000001</v>
      </c>
      <c r="M64" s="76">
        <f t="shared" si="2"/>
        <v>1305108.8700000001</v>
      </c>
      <c r="N64" s="76">
        <f t="shared" si="2"/>
        <v>526230.21</v>
      </c>
    </row>
    <row r="65" spans="1:14" ht="39.75" customHeight="1" x14ac:dyDescent="0.2">
      <c r="A65" s="157">
        <v>56</v>
      </c>
      <c r="B65" s="62" t="s">
        <v>20</v>
      </c>
      <c r="C65" s="162">
        <v>6300080210</v>
      </c>
      <c r="D65" s="59" t="s">
        <v>73</v>
      </c>
      <c r="E65" s="59" t="s">
        <v>27</v>
      </c>
      <c r="F65" s="163">
        <f>(51020+31776.62+900000+35500+17700+6200+180212.25)/1000</f>
        <v>1222.4088700000002</v>
      </c>
      <c r="G65" s="163">
        <f>900+52.72+31.77662+35.5+17.7+7.2+29.999+230.21325</f>
        <v>1305.10887</v>
      </c>
      <c r="H65" s="163">
        <f>376.23407+15.2356+3.61402+4.2+1.60752+29.999+95.34</f>
        <v>526.23020999999994</v>
      </c>
      <c r="I65" s="75">
        <f t="shared" si="3"/>
        <v>778.87866000000008</v>
      </c>
      <c r="J65" s="129">
        <f t="shared" si="4"/>
        <v>40.3207902494755</v>
      </c>
      <c r="K65" s="236"/>
      <c r="L65" s="76">
        <f t="shared" si="2"/>
        <v>1222408.8700000001</v>
      </c>
      <c r="M65" s="76">
        <f t="shared" si="2"/>
        <v>1305108.8700000001</v>
      </c>
      <c r="N65" s="76">
        <f t="shared" si="2"/>
        <v>526230.21</v>
      </c>
    </row>
    <row r="66" spans="1:14" x14ac:dyDescent="0.2">
      <c r="A66" s="157">
        <v>57</v>
      </c>
      <c r="B66" s="161" t="s">
        <v>163</v>
      </c>
      <c r="C66" s="162">
        <v>6300080620</v>
      </c>
      <c r="D66" s="59" t="s">
        <v>162</v>
      </c>
      <c r="E66" s="59"/>
      <c r="F66" s="69">
        <f>F67</f>
        <v>90.736999999999995</v>
      </c>
      <c r="G66" s="69">
        <f t="shared" ref="G66:H68" si="37">G67</f>
        <v>90.736999999999995</v>
      </c>
      <c r="H66" s="69">
        <f t="shared" si="37"/>
        <v>45.368499999999997</v>
      </c>
      <c r="I66" s="75">
        <f t="shared" si="3"/>
        <v>45.368499999999997</v>
      </c>
      <c r="J66" s="129">
        <f t="shared" si="4"/>
        <v>50</v>
      </c>
      <c r="K66" s="236"/>
      <c r="L66" s="76"/>
      <c r="M66" s="76"/>
      <c r="N66" s="76"/>
    </row>
    <row r="67" spans="1:14" x14ac:dyDescent="0.2">
      <c r="A67" s="157">
        <v>58</v>
      </c>
      <c r="B67" s="161" t="s">
        <v>56</v>
      </c>
      <c r="C67" s="162">
        <v>6300080620</v>
      </c>
      <c r="D67" s="59" t="s">
        <v>80</v>
      </c>
      <c r="E67" s="59"/>
      <c r="F67" s="69">
        <f>F68</f>
        <v>90.736999999999995</v>
      </c>
      <c r="G67" s="69">
        <f t="shared" si="37"/>
        <v>90.736999999999995</v>
      </c>
      <c r="H67" s="69">
        <f t="shared" si="37"/>
        <v>45.368499999999997</v>
      </c>
      <c r="I67" s="75">
        <f t="shared" si="3"/>
        <v>45.368499999999997</v>
      </c>
      <c r="J67" s="129">
        <f t="shared" si="4"/>
        <v>50</v>
      </c>
      <c r="K67" s="236"/>
      <c r="L67" s="76"/>
      <c r="M67" s="76"/>
      <c r="N67" s="76"/>
    </row>
    <row r="68" spans="1:14" x14ac:dyDescent="0.2">
      <c r="A68" s="157">
        <v>59</v>
      </c>
      <c r="B68" s="108" t="s">
        <v>287</v>
      </c>
      <c r="C68" s="162">
        <v>6300080620</v>
      </c>
      <c r="D68" s="59" t="s">
        <v>80</v>
      </c>
      <c r="E68" s="59" t="s">
        <v>24</v>
      </c>
      <c r="F68" s="69">
        <f>F69</f>
        <v>90.736999999999995</v>
      </c>
      <c r="G68" s="69">
        <f t="shared" si="37"/>
        <v>90.736999999999995</v>
      </c>
      <c r="H68" s="69">
        <f t="shared" si="37"/>
        <v>45.368499999999997</v>
      </c>
      <c r="I68" s="75">
        <f t="shared" si="3"/>
        <v>45.368499999999997</v>
      </c>
      <c r="J68" s="129">
        <f t="shared" si="4"/>
        <v>50</v>
      </c>
      <c r="K68" s="236"/>
      <c r="L68" s="76">
        <f t="shared" si="2"/>
        <v>90737</v>
      </c>
      <c r="M68" s="76">
        <f t="shared" si="2"/>
        <v>90737</v>
      </c>
      <c r="N68" s="76">
        <f t="shared" si="2"/>
        <v>45368.5</v>
      </c>
    </row>
    <row r="69" spans="1:14" ht="38.25" x14ac:dyDescent="0.2">
      <c r="A69" s="157">
        <v>60</v>
      </c>
      <c r="B69" s="62" t="s">
        <v>20</v>
      </c>
      <c r="C69" s="162">
        <v>6300080620</v>
      </c>
      <c r="D69" s="59" t="s">
        <v>80</v>
      </c>
      <c r="E69" s="59" t="s">
        <v>27</v>
      </c>
      <c r="F69" s="163">
        <v>90.736999999999995</v>
      </c>
      <c r="G69" s="163">
        <v>90.736999999999995</v>
      </c>
      <c r="H69" s="163">
        <v>45.368499999999997</v>
      </c>
      <c r="I69" s="75">
        <f t="shared" si="3"/>
        <v>45.368499999999997</v>
      </c>
      <c r="J69" s="129">
        <f t="shared" si="4"/>
        <v>50</v>
      </c>
      <c r="K69" s="236"/>
      <c r="L69" s="76">
        <f t="shared" si="2"/>
        <v>90737</v>
      </c>
      <c r="M69" s="76">
        <f t="shared" si="2"/>
        <v>90737</v>
      </c>
      <c r="N69" s="76">
        <f t="shared" si="2"/>
        <v>45368.5</v>
      </c>
    </row>
    <row r="70" spans="1:14" x14ac:dyDescent="0.2">
      <c r="A70" s="157">
        <v>61</v>
      </c>
      <c r="B70" s="161" t="s">
        <v>222</v>
      </c>
      <c r="C70" s="162">
        <v>6300080620</v>
      </c>
      <c r="D70" s="59" t="s">
        <v>228</v>
      </c>
      <c r="E70" s="59"/>
      <c r="F70" s="69">
        <f>F71</f>
        <v>2.9420000000000002</v>
      </c>
      <c r="G70" s="163">
        <f t="shared" ref="G70:H72" si="38">G71</f>
        <v>2.9420000000000002</v>
      </c>
      <c r="H70" s="163">
        <f t="shared" si="38"/>
        <v>0.49900000000000011</v>
      </c>
      <c r="I70" s="75">
        <f t="shared" si="3"/>
        <v>2.4430000000000001</v>
      </c>
      <c r="J70" s="129">
        <f t="shared" si="4"/>
        <v>16.96125084976207</v>
      </c>
      <c r="K70" s="236"/>
      <c r="L70" s="76">
        <f t="shared" si="2"/>
        <v>2942</v>
      </c>
      <c r="M70" s="76">
        <f t="shared" si="2"/>
        <v>2942</v>
      </c>
      <c r="N70" s="76">
        <f t="shared" si="2"/>
        <v>499.00000000000011</v>
      </c>
    </row>
    <row r="71" spans="1:14" x14ac:dyDescent="0.2">
      <c r="A71" s="157">
        <v>62</v>
      </c>
      <c r="B71" s="161" t="s">
        <v>165</v>
      </c>
      <c r="C71" s="162">
        <v>6300080620</v>
      </c>
      <c r="D71" s="59" t="s">
        <v>164</v>
      </c>
      <c r="E71" s="59"/>
      <c r="F71" s="69">
        <f>F72</f>
        <v>2.9420000000000002</v>
      </c>
      <c r="G71" s="163">
        <f t="shared" si="38"/>
        <v>2.9420000000000002</v>
      </c>
      <c r="H71" s="163">
        <f t="shared" si="38"/>
        <v>0.49900000000000011</v>
      </c>
      <c r="I71" s="75">
        <f t="shared" si="3"/>
        <v>2.4430000000000001</v>
      </c>
      <c r="J71" s="129">
        <f t="shared" si="4"/>
        <v>16.96125084976207</v>
      </c>
      <c r="K71" s="236"/>
      <c r="L71" s="76">
        <f t="shared" si="2"/>
        <v>2942</v>
      </c>
      <c r="M71" s="76">
        <f t="shared" si="2"/>
        <v>2942</v>
      </c>
      <c r="N71" s="76">
        <f t="shared" si="2"/>
        <v>499.00000000000011</v>
      </c>
    </row>
    <row r="72" spans="1:14" x14ac:dyDescent="0.2">
      <c r="A72" s="157">
        <v>63</v>
      </c>
      <c r="B72" s="108" t="s">
        <v>287</v>
      </c>
      <c r="C72" s="162">
        <v>6300080620</v>
      </c>
      <c r="D72" s="59" t="s">
        <v>164</v>
      </c>
      <c r="E72" s="59" t="s">
        <v>24</v>
      </c>
      <c r="F72" s="69">
        <f>F73</f>
        <v>2.9420000000000002</v>
      </c>
      <c r="G72" s="69">
        <f t="shared" si="38"/>
        <v>2.9420000000000002</v>
      </c>
      <c r="H72" s="69">
        <f t="shared" si="38"/>
        <v>0.49900000000000011</v>
      </c>
      <c r="I72" s="75">
        <f t="shared" si="3"/>
        <v>2.4430000000000001</v>
      </c>
      <c r="J72" s="129">
        <f t="shared" si="4"/>
        <v>16.96125084976207</v>
      </c>
      <c r="K72" s="236"/>
      <c r="L72" s="76">
        <f t="shared" si="2"/>
        <v>2942</v>
      </c>
      <c r="M72" s="76">
        <f t="shared" si="2"/>
        <v>2942</v>
      </c>
      <c r="N72" s="76">
        <f t="shared" si="2"/>
        <v>499.00000000000011</v>
      </c>
    </row>
    <row r="73" spans="1:14" ht="38.25" x14ac:dyDescent="0.2">
      <c r="A73" s="157">
        <v>64</v>
      </c>
      <c r="B73" s="62" t="s">
        <v>20</v>
      </c>
      <c r="C73" s="162">
        <v>6300080620</v>
      </c>
      <c r="D73" s="59" t="s">
        <v>164</v>
      </c>
      <c r="E73" s="59" t="s">
        <v>27</v>
      </c>
      <c r="F73" s="163">
        <f>2.942</f>
        <v>2.9420000000000002</v>
      </c>
      <c r="G73" s="163">
        <f>2.942</f>
        <v>2.9420000000000002</v>
      </c>
      <c r="H73" s="163">
        <f>2.499-2</f>
        <v>0.49900000000000011</v>
      </c>
      <c r="I73" s="75">
        <f t="shared" si="3"/>
        <v>2.4430000000000001</v>
      </c>
      <c r="J73" s="129">
        <f t="shared" si="4"/>
        <v>16.96125084976207</v>
      </c>
      <c r="K73" s="236"/>
      <c r="L73" s="76">
        <f t="shared" si="2"/>
        <v>2942</v>
      </c>
      <c r="M73" s="76">
        <f t="shared" si="2"/>
        <v>2942</v>
      </c>
      <c r="N73" s="76">
        <f t="shared" si="2"/>
        <v>499.00000000000011</v>
      </c>
    </row>
    <row r="74" spans="1:14" x14ac:dyDescent="0.2">
      <c r="A74" s="157">
        <v>65</v>
      </c>
      <c r="B74" s="67" t="s">
        <v>145</v>
      </c>
      <c r="C74" s="20">
        <v>6400000000</v>
      </c>
      <c r="D74" s="59"/>
      <c r="E74" s="59"/>
      <c r="F74" s="163">
        <f>F75</f>
        <v>10</v>
      </c>
      <c r="G74" s="163">
        <f t="shared" ref="G74:H77" si="39">G75</f>
        <v>10</v>
      </c>
      <c r="H74" s="163">
        <f t="shared" si="39"/>
        <v>0</v>
      </c>
      <c r="I74" s="75">
        <f t="shared" si="3"/>
        <v>10</v>
      </c>
      <c r="J74" s="129">
        <f t="shared" si="4"/>
        <v>0</v>
      </c>
      <c r="K74" s="236"/>
      <c r="L74" s="76">
        <f t="shared" si="2"/>
        <v>10000</v>
      </c>
      <c r="M74" s="76">
        <f t="shared" si="2"/>
        <v>10000</v>
      </c>
      <c r="N74" s="76">
        <f t="shared" si="2"/>
        <v>0</v>
      </c>
    </row>
    <row r="75" spans="1:14" ht="25.5" x14ac:dyDescent="0.2">
      <c r="A75" s="157">
        <v>66</v>
      </c>
      <c r="B75" s="109" t="s">
        <v>319</v>
      </c>
      <c r="C75" s="20">
        <v>6400080000</v>
      </c>
      <c r="D75" s="110" t="s">
        <v>155</v>
      </c>
      <c r="E75" s="110" t="s">
        <v>155</v>
      </c>
      <c r="F75" s="163">
        <f t="shared" ref="F75:H78" si="40">F76</f>
        <v>10</v>
      </c>
      <c r="G75" s="163">
        <f t="shared" si="39"/>
        <v>10</v>
      </c>
      <c r="H75" s="163">
        <f t="shared" si="39"/>
        <v>0</v>
      </c>
      <c r="I75" s="75">
        <f t="shared" ref="I75:I138" si="41">G75-H75</f>
        <v>10</v>
      </c>
      <c r="J75" s="129">
        <f t="shared" ref="J75:J138" si="42">H75/G75*100</f>
        <v>0</v>
      </c>
      <c r="K75" s="236"/>
      <c r="L75" s="76">
        <f t="shared" si="2"/>
        <v>10000</v>
      </c>
      <c r="M75" s="76">
        <f t="shared" si="2"/>
        <v>10000</v>
      </c>
      <c r="N75" s="76">
        <f t="shared" si="2"/>
        <v>0</v>
      </c>
    </row>
    <row r="76" spans="1:14" x14ac:dyDescent="0.2">
      <c r="A76" s="157">
        <v>67</v>
      </c>
      <c r="B76" s="108" t="s">
        <v>222</v>
      </c>
      <c r="C76" s="20">
        <v>6400080210</v>
      </c>
      <c r="D76" s="110" t="s">
        <v>228</v>
      </c>
      <c r="E76" s="110" t="s">
        <v>155</v>
      </c>
      <c r="F76" s="163">
        <f>F77</f>
        <v>10</v>
      </c>
      <c r="G76" s="163">
        <f t="shared" si="39"/>
        <v>10</v>
      </c>
      <c r="H76" s="163">
        <f t="shared" si="39"/>
        <v>0</v>
      </c>
      <c r="I76" s="75">
        <f t="shared" si="41"/>
        <v>10</v>
      </c>
      <c r="J76" s="129">
        <f t="shared" si="42"/>
        <v>0</v>
      </c>
      <c r="K76" s="236"/>
      <c r="L76" s="76">
        <f t="shared" si="2"/>
        <v>10000</v>
      </c>
      <c r="M76" s="76">
        <f t="shared" si="2"/>
        <v>10000</v>
      </c>
      <c r="N76" s="76">
        <f t="shared" si="2"/>
        <v>0</v>
      </c>
    </row>
    <row r="77" spans="1:14" x14ac:dyDescent="0.2">
      <c r="A77" s="157">
        <v>68</v>
      </c>
      <c r="B77" s="108" t="s">
        <v>223</v>
      </c>
      <c r="C77" s="20">
        <v>6400080210</v>
      </c>
      <c r="D77" s="110" t="s">
        <v>229</v>
      </c>
      <c r="E77" s="110" t="s">
        <v>155</v>
      </c>
      <c r="F77" s="163">
        <f>F78</f>
        <v>10</v>
      </c>
      <c r="G77" s="163">
        <f t="shared" si="39"/>
        <v>10</v>
      </c>
      <c r="H77" s="163">
        <f t="shared" si="39"/>
        <v>0</v>
      </c>
      <c r="I77" s="75">
        <f t="shared" si="41"/>
        <v>10</v>
      </c>
      <c r="J77" s="129">
        <f t="shared" si="42"/>
        <v>0</v>
      </c>
      <c r="K77" s="236"/>
      <c r="L77" s="76">
        <f t="shared" si="2"/>
        <v>10000</v>
      </c>
      <c r="M77" s="76">
        <f t="shared" si="2"/>
        <v>10000</v>
      </c>
      <c r="N77" s="76">
        <f t="shared" si="2"/>
        <v>0</v>
      </c>
    </row>
    <row r="78" spans="1:14" x14ac:dyDescent="0.2">
      <c r="A78" s="157">
        <v>69</v>
      </c>
      <c r="B78" s="108" t="s">
        <v>287</v>
      </c>
      <c r="C78" s="20">
        <v>6400080210</v>
      </c>
      <c r="D78" s="110" t="s">
        <v>229</v>
      </c>
      <c r="E78" s="110" t="s">
        <v>24</v>
      </c>
      <c r="F78" s="163">
        <f t="shared" si="40"/>
        <v>10</v>
      </c>
      <c r="G78" s="163">
        <f t="shared" si="40"/>
        <v>10</v>
      </c>
      <c r="H78" s="163">
        <f t="shared" si="40"/>
        <v>0</v>
      </c>
      <c r="I78" s="75">
        <f t="shared" si="41"/>
        <v>10</v>
      </c>
      <c r="J78" s="129">
        <f t="shared" si="42"/>
        <v>0</v>
      </c>
      <c r="K78" s="236"/>
      <c r="L78" s="76">
        <f t="shared" si="2"/>
        <v>10000</v>
      </c>
      <c r="M78" s="76">
        <f t="shared" si="2"/>
        <v>10000</v>
      </c>
      <c r="N78" s="76">
        <f t="shared" si="2"/>
        <v>0</v>
      </c>
    </row>
    <row r="79" spans="1:14" x14ac:dyDescent="0.2">
      <c r="A79" s="157">
        <v>70</v>
      </c>
      <c r="B79" s="108" t="s">
        <v>218</v>
      </c>
      <c r="C79" s="20">
        <v>6400080210</v>
      </c>
      <c r="D79" s="110" t="s">
        <v>229</v>
      </c>
      <c r="E79" s="110" t="s">
        <v>219</v>
      </c>
      <c r="F79" s="163">
        <v>10</v>
      </c>
      <c r="G79" s="163">
        <v>10</v>
      </c>
      <c r="H79" s="163">
        <v>0</v>
      </c>
      <c r="I79" s="75">
        <f t="shared" si="41"/>
        <v>10</v>
      </c>
      <c r="J79" s="129">
        <f t="shared" si="42"/>
        <v>0</v>
      </c>
      <c r="K79" s="236"/>
      <c r="L79" s="76">
        <f t="shared" si="2"/>
        <v>10000</v>
      </c>
      <c r="M79" s="76">
        <f t="shared" si="2"/>
        <v>10000</v>
      </c>
      <c r="N79" s="76">
        <f t="shared" si="2"/>
        <v>0</v>
      </c>
    </row>
    <row r="80" spans="1:14" x14ac:dyDescent="0.2">
      <c r="A80" s="157">
        <v>71</v>
      </c>
      <c r="B80" s="67" t="s">
        <v>145</v>
      </c>
      <c r="C80" s="20">
        <v>6400000000</v>
      </c>
      <c r="D80" s="42"/>
      <c r="E80" s="42"/>
      <c r="F80" s="69">
        <f>F90+F81+F95</f>
        <v>1642.5888500000001</v>
      </c>
      <c r="G80" s="69">
        <f t="shared" ref="G80:H80" si="43">G90+G81+G95</f>
        <v>1646.9138500000001</v>
      </c>
      <c r="H80" s="69">
        <f t="shared" si="43"/>
        <v>320.31914</v>
      </c>
      <c r="I80" s="75">
        <f t="shared" si="41"/>
        <v>1326.5947100000001</v>
      </c>
      <c r="J80" s="129">
        <f t="shared" si="42"/>
        <v>19.449659737818102</v>
      </c>
      <c r="K80" s="236"/>
      <c r="L80" s="76">
        <f t="shared" si="2"/>
        <v>1642588.85</v>
      </c>
      <c r="M80" s="76">
        <f t="shared" si="2"/>
        <v>1646913.85</v>
      </c>
      <c r="N80" s="76">
        <f t="shared" si="2"/>
        <v>320319.14</v>
      </c>
    </row>
    <row r="81" spans="1:14" x14ac:dyDescent="0.2">
      <c r="A81" s="157">
        <v>72</v>
      </c>
      <c r="B81" s="66" t="s">
        <v>224</v>
      </c>
      <c r="C81" s="164" t="s">
        <v>230</v>
      </c>
      <c r="D81" s="59"/>
      <c r="E81" s="59"/>
      <c r="F81" s="69">
        <f>F82+F86</f>
        <v>1628.66785</v>
      </c>
      <c r="G81" s="69">
        <f>G82+G86</f>
        <v>1632.9928500000001</v>
      </c>
      <c r="H81" s="69">
        <f>H82+H86</f>
        <v>320.31914</v>
      </c>
      <c r="I81" s="75">
        <f t="shared" si="41"/>
        <v>1312.67371</v>
      </c>
      <c r="J81" s="129">
        <f t="shared" si="42"/>
        <v>19.615464942176565</v>
      </c>
      <c r="K81" s="236"/>
      <c r="L81" s="76">
        <f t="shared" si="2"/>
        <v>1628667.85</v>
      </c>
      <c r="M81" s="76">
        <f t="shared" si="2"/>
        <v>1632992.85</v>
      </c>
      <c r="N81" s="76">
        <f t="shared" si="2"/>
        <v>320319.14</v>
      </c>
    </row>
    <row r="82" spans="1:14" ht="38.25" x14ac:dyDescent="0.2">
      <c r="A82" s="157">
        <v>73</v>
      </c>
      <c r="B82" s="62" t="s">
        <v>69</v>
      </c>
      <c r="C82" s="164" t="s">
        <v>225</v>
      </c>
      <c r="D82" s="59" t="s">
        <v>70</v>
      </c>
      <c r="E82" s="59"/>
      <c r="F82" s="69">
        <f>F83</f>
        <v>1398.74485</v>
      </c>
      <c r="G82" s="69">
        <f t="shared" ref="F82:H84" si="44">G83</f>
        <v>1398.74485</v>
      </c>
      <c r="H82" s="69">
        <f t="shared" si="44"/>
        <v>287.50214</v>
      </c>
      <c r="I82" s="75">
        <f t="shared" si="41"/>
        <v>1111.24271</v>
      </c>
      <c r="J82" s="129">
        <f t="shared" si="42"/>
        <v>20.554294802229297</v>
      </c>
      <c r="K82" s="236"/>
      <c r="L82" s="76">
        <f t="shared" si="2"/>
        <v>1398744.85</v>
      </c>
      <c r="M82" s="76">
        <f t="shared" si="2"/>
        <v>1398744.85</v>
      </c>
      <c r="N82" s="76">
        <f t="shared" si="2"/>
        <v>287502.14</v>
      </c>
    </row>
    <row r="83" spans="1:14" x14ac:dyDescent="0.2">
      <c r="A83" s="157">
        <v>74</v>
      </c>
      <c r="B83" s="62" t="s">
        <v>158</v>
      </c>
      <c r="C83" s="164" t="s">
        <v>225</v>
      </c>
      <c r="D83" s="59" t="s">
        <v>74</v>
      </c>
      <c r="E83" s="59"/>
      <c r="F83" s="69">
        <f t="shared" si="44"/>
        <v>1398.74485</v>
      </c>
      <c r="G83" s="163">
        <f>G84</f>
        <v>1398.74485</v>
      </c>
      <c r="H83" s="163">
        <f t="shared" si="44"/>
        <v>287.50214</v>
      </c>
      <c r="I83" s="75">
        <f t="shared" si="41"/>
        <v>1111.24271</v>
      </c>
      <c r="J83" s="129">
        <f t="shared" si="42"/>
        <v>20.554294802229297</v>
      </c>
      <c r="K83" s="236"/>
      <c r="L83" s="76">
        <f t="shared" si="2"/>
        <v>1398744.85</v>
      </c>
      <c r="M83" s="76">
        <f t="shared" si="2"/>
        <v>1398744.85</v>
      </c>
      <c r="N83" s="76">
        <f t="shared" si="2"/>
        <v>287502.14</v>
      </c>
    </row>
    <row r="84" spans="1:14" x14ac:dyDescent="0.2">
      <c r="A84" s="157">
        <v>75</v>
      </c>
      <c r="B84" s="108" t="s">
        <v>287</v>
      </c>
      <c r="C84" s="164" t="s">
        <v>225</v>
      </c>
      <c r="D84" s="59" t="s">
        <v>74</v>
      </c>
      <c r="E84" s="59" t="s">
        <v>24</v>
      </c>
      <c r="F84" s="69">
        <f t="shared" si="44"/>
        <v>1398.74485</v>
      </c>
      <c r="G84" s="69">
        <f t="shared" si="44"/>
        <v>1398.74485</v>
      </c>
      <c r="H84" s="69">
        <f>H85</f>
        <v>287.50214</v>
      </c>
      <c r="I84" s="75">
        <f t="shared" si="41"/>
        <v>1111.24271</v>
      </c>
      <c r="J84" s="129">
        <f t="shared" si="42"/>
        <v>20.554294802229297</v>
      </c>
      <c r="K84" s="236"/>
      <c r="L84" s="76">
        <f t="shared" si="2"/>
        <v>1398744.85</v>
      </c>
      <c r="M84" s="76">
        <f t="shared" si="2"/>
        <v>1398744.85</v>
      </c>
      <c r="N84" s="76">
        <f t="shared" si="2"/>
        <v>287502.14</v>
      </c>
    </row>
    <row r="85" spans="1:14" x14ac:dyDescent="0.2">
      <c r="A85" s="157">
        <v>76</v>
      </c>
      <c r="B85" s="60" t="s">
        <v>144</v>
      </c>
      <c r="C85" s="164" t="s">
        <v>225</v>
      </c>
      <c r="D85" s="59" t="s">
        <v>74</v>
      </c>
      <c r="E85" s="59" t="s">
        <v>57</v>
      </c>
      <c r="F85" s="163">
        <f>(1074304.8+324440.05)/1000</f>
        <v>1398.74485</v>
      </c>
      <c r="G85" s="163">
        <f>1072.66011+1.64469+324.44005</f>
        <v>1398.74485</v>
      </c>
      <c r="H85" s="163">
        <f>228.13474+1.64469+57.72271</f>
        <v>287.50214</v>
      </c>
      <c r="I85" s="75">
        <f t="shared" si="41"/>
        <v>1111.24271</v>
      </c>
      <c r="J85" s="129">
        <f t="shared" si="42"/>
        <v>20.554294802229297</v>
      </c>
      <c r="K85" s="236"/>
      <c r="L85" s="76">
        <f t="shared" si="2"/>
        <v>1398744.85</v>
      </c>
      <c r="M85" s="76">
        <f t="shared" si="2"/>
        <v>1398744.85</v>
      </c>
      <c r="N85" s="76">
        <f t="shared" si="2"/>
        <v>287502.14</v>
      </c>
    </row>
    <row r="86" spans="1:14" x14ac:dyDescent="0.2">
      <c r="A86" s="157">
        <v>77</v>
      </c>
      <c r="B86" s="165" t="s">
        <v>71</v>
      </c>
      <c r="C86" s="164" t="s">
        <v>225</v>
      </c>
      <c r="D86" s="59" t="s">
        <v>72</v>
      </c>
      <c r="E86" s="59"/>
      <c r="F86" s="69">
        <f>F87</f>
        <v>229.923</v>
      </c>
      <c r="G86" s="163">
        <f t="shared" ref="G86:H88" si="45">G87</f>
        <v>234.24799999999999</v>
      </c>
      <c r="H86" s="163">
        <f t="shared" si="45"/>
        <v>32.817</v>
      </c>
      <c r="I86" s="75">
        <f t="shared" si="41"/>
        <v>201.43099999999998</v>
      </c>
      <c r="J86" s="129">
        <f t="shared" si="42"/>
        <v>14.009511287182816</v>
      </c>
      <c r="K86" s="236"/>
      <c r="L86" s="76">
        <f t="shared" si="2"/>
        <v>229923</v>
      </c>
      <c r="M86" s="76">
        <f t="shared" si="2"/>
        <v>234248</v>
      </c>
      <c r="N86" s="76">
        <f t="shared" si="2"/>
        <v>32817</v>
      </c>
    </row>
    <row r="87" spans="1:14" ht="27.75" customHeight="1" x14ac:dyDescent="0.2">
      <c r="A87" s="157">
        <v>78</v>
      </c>
      <c r="B87" s="165" t="s">
        <v>157</v>
      </c>
      <c r="C87" s="164" t="s">
        <v>225</v>
      </c>
      <c r="D87" s="59" t="s">
        <v>73</v>
      </c>
      <c r="E87" s="59"/>
      <c r="F87" s="69">
        <f>F88</f>
        <v>229.923</v>
      </c>
      <c r="G87" s="163">
        <f t="shared" si="45"/>
        <v>234.24799999999999</v>
      </c>
      <c r="H87" s="163">
        <f t="shared" si="45"/>
        <v>32.817</v>
      </c>
      <c r="I87" s="75">
        <f t="shared" si="41"/>
        <v>201.43099999999998</v>
      </c>
      <c r="J87" s="129">
        <f t="shared" si="42"/>
        <v>14.009511287182816</v>
      </c>
      <c r="K87" s="236"/>
      <c r="L87" s="76">
        <f t="shared" si="2"/>
        <v>229923</v>
      </c>
      <c r="M87" s="76">
        <f t="shared" si="2"/>
        <v>234248</v>
      </c>
      <c r="N87" s="76">
        <f t="shared" si="2"/>
        <v>32817</v>
      </c>
    </row>
    <row r="88" spans="1:14" x14ac:dyDescent="0.2">
      <c r="A88" s="157">
        <v>79</v>
      </c>
      <c r="B88" s="108" t="s">
        <v>287</v>
      </c>
      <c r="C88" s="164" t="s">
        <v>225</v>
      </c>
      <c r="D88" s="59" t="s">
        <v>73</v>
      </c>
      <c r="E88" s="59" t="s">
        <v>24</v>
      </c>
      <c r="F88" s="69">
        <f>F89</f>
        <v>229.923</v>
      </c>
      <c r="G88" s="69">
        <f t="shared" si="45"/>
        <v>234.24799999999999</v>
      </c>
      <c r="H88" s="69">
        <f t="shared" si="45"/>
        <v>32.817</v>
      </c>
      <c r="I88" s="75">
        <f t="shared" si="41"/>
        <v>201.43099999999998</v>
      </c>
      <c r="J88" s="129">
        <f t="shared" si="42"/>
        <v>14.009511287182816</v>
      </c>
      <c r="K88" s="236"/>
      <c r="L88" s="76">
        <f t="shared" si="2"/>
        <v>229923</v>
      </c>
      <c r="M88" s="76">
        <f t="shared" si="2"/>
        <v>234248</v>
      </c>
      <c r="N88" s="76">
        <f t="shared" si="2"/>
        <v>32817</v>
      </c>
    </row>
    <row r="89" spans="1:14" x14ac:dyDescent="0.2">
      <c r="A89" s="157">
        <v>80</v>
      </c>
      <c r="B89" s="60" t="s">
        <v>144</v>
      </c>
      <c r="C89" s="164" t="s">
        <v>225</v>
      </c>
      <c r="D89" s="59" t="s">
        <v>73</v>
      </c>
      <c r="E89" s="59" t="s">
        <v>57</v>
      </c>
      <c r="F89" s="163">
        <f>(55476+6000+148947+19500)/1000</f>
        <v>229.923</v>
      </c>
      <c r="G89" s="163">
        <f>60.801+6+148.947+18.5</f>
        <v>234.24799999999999</v>
      </c>
      <c r="H89" s="163">
        <f>12.85+19.967</f>
        <v>32.817</v>
      </c>
      <c r="I89" s="75">
        <f t="shared" si="41"/>
        <v>201.43099999999998</v>
      </c>
      <c r="J89" s="129">
        <f t="shared" si="42"/>
        <v>14.009511287182816</v>
      </c>
      <c r="K89" s="236"/>
      <c r="L89" s="76">
        <f t="shared" si="2"/>
        <v>229923</v>
      </c>
      <c r="M89" s="76">
        <f t="shared" si="2"/>
        <v>234248</v>
      </c>
      <c r="N89" s="76">
        <f t="shared" si="2"/>
        <v>32817</v>
      </c>
    </row>
    <row r="90" spans="1:14" ht="25.5" x14ac:dyDescent="0.2">
      <c r="A90" s="157">
        <v>81</v>
      </c>
      <c r="B90" s="62" t="s">
        <v>160</v>
      </c>
      <c r="C90" s="162">
        <v>6400075140</v>
      </c>
      <c r="D90" s="59"/>
      <c r="E90" s="59"/>
      <c r="F90" s="69">
        <f t="shared" ref="F90:H93" si="46">F91</f>
        <v>13.920999999999999</v>
      </c>
      <c r="G90" s="69">
        <f t="shared" si="46"/>
        <v>13.920999999999999</v>
      </c>
      <c r="H90" s="69">
        <f t="shared" si="46"/>
        <v>0</v>
      </c>
      <c r="I90" s="75">
        <f t="shared" si="41"/>
        <v>13.920999999999999</v>
      </c>
      <c r="J90" s="129">
        <f t="shared" si="42"/>
        <v>0</v>
      </c>
      <c r="K90" s="236"/>
      <c r="L90" s="76">
        <f t="shared" si="2"/>
        <v>13921</v>
      </c>
      <c r="M90" s="76">
        <f t="shared" si="2"/>
        <v>13921</v>
      </c>
      <c r="N90" s="76">
        <f t="shared" si="2"/>
        <v>0</v>
      </c>
    </row>
    <row r="91" spans="1:14" x14ac:dyDescent="0.2">
      <c r="A91" s="157">
        <v>82</v>
      </c>
      <c r="B91" s="165" t="s">
        <v>71</v>
      </c>
      <c r="C91" s="162">
        <v>6400075140</v>
      </c>
      <c r="D91" s="59" t="s">
        <v>72</v>
      </c>
      <c r="E91" s="59"/>
      <c r="F91" s="69">
        <f>F92</f>
        <v>13.920999999999999</v>
      </c>
      <c r="G91" s="69">
        <f t="shared" si="46"/>
        <v>13.920999999999999</v>
      </c>
      <c r="H91" s="69">
        <f t="shared" si="46"/>
        <v>0</v>
      </c>
      <c r="I91" s="75">
        <f t="shared" si="41"/>
        <v>13.920999999999999</v>
      </c>
      <c r="J91" s="129">
        <f t="shared" si="42"/>
        <v>0</v>
      </c>
      <c r="K91" s="236"/>
      <c r="L91" s="76">
        <f t="shared" si="2"/>
        <v>13921</v>
      </c>
      <c r="M91" s="76">
        <f t="shared" si="2"/>
        <v>13921</v>
      </c>
      <c r="N91" s="76">
        <f t="shared" si="2"/>
        <v>0</v>
      </c>
    </row>
    <row r="92" spans="1:14" ht="25.5" x14ac:dyDescent="0.2">
      <c r="A92" s="157">
        <v>83</v>
      </c>
      <c r="B92" s="165" t="s">
        <v>157</v>
      </c>
      <c r="C92" s="162">
        <v>6400075140</v>
      </c>
      <c r="D92" s="59" t="s">
        <v>73</v>
      </c>
      <c r="E92" s="59"/>
      <c r="F92" s="69">
        <f>F93</f>
        <v>13.920999999999999</v>
      </c>
      <c r="G92" s="69">
        <f t="shared" si="46"/>
        <v>13.920999999999999</v>
      </c>
      <c r="H92" s="69">
        <f t="shared" si="46"/>
        <v>0</v>
      </c>
      <c r="I92" s="75">
        <f t="shared" si="41"/>
        <v>13.920999999999999</v>
      </c>
      <c r="J92" s="129">
        <f t="shared" si="42"/>
        <v>0</v>
      </c>
      <c r="K92" s="236"/>
      <c r="L92" s="76">
        <f t="shared" ref="L92:N139" si="47">F92*1000</f>
        <v>13921</v>
      </c>
      <c r="M92" s="76">
        <f t="shared" si="47"/>
        <v>13921</v>
      </c>
      <c r="N92" s="76">
        <f t="shared" si="47"/>
        <v>0</v>
      </c>
    </row>
    <row r="93" spans="1:14" x14ac:dyDescent="0.2">
      <c r="A93" s="157">
        <v>84</v>
      </c>
      <c r="B93" s="108" t="s">
        <v>287</v>
      </c>
      <c r="C93" s="162">
        <v>6400075140</v>
      </c>
      <c r="D93" s="59" t="s">
        <v>73</v>
      </c>
      <c r="E93" s="59" t="s">
        <v>24</v>
      </c>
      <c r="F93" s="69">
        <f t="shared" si="46"/>
        <v>13.920999999999999</v>
      </c>
      <c r="G93" s="163">
        <f t="shared" si="46"/>
        <v>13.920999999999999</v>
      </c>
      <c r="H93" s="163">
        <f t="shared" si="46"/>
        <v>0</v>
      </c>
      <c r="I93" s="75">
        <f t="shared" si="41"/>
        <v>13.920999999999999</v>
      </c>
      <c r="J93" s="129">
        <f t="shared" si="42"/>
        <v>0</v>
      </c>
      <c r="K93" s="236"/>
      <c r="L93" s="76">
        <f t="shared" si="47"/>
        <v>13921</v>
      </c>
      <c r="M93" s="76">
        <f t="shared" si="47"/>
        <v>13921</v>
      </c>
      <c r="N93" s="76">
        <f t="shared" si="47"/>
        <v>0</v>
      </c>
    </row>
    <row r="94" spans="1:14" x14ac:dyDescent="0.2">
      <c r="A94" s="157">
        <v>85</v>
      </c>
      <c r="B94" s="60" t="s">
        <v>144</v>
      </c>
      <c r="C94" s="162">
        <v>6400075140</v>
      </c>
      <c r="D94" s="59" t="s">
        <v>73</v>
      </c>
      <c r="E94" s="59" t="s">
        <v>57</v>
      </c>
      <c r="F94" s="69">
        <v>13.920999999999999</v>
      </c>
      <c r="G94" s="163">
        <v>13.920999999999999</v>
      </c>
      <c r="H94" s="163">
        <v>0</v>
      </c>
      <c r="I94" s="75">
        <f t="shared" si="41"/>
        <v>13.920999999999999</v>
      </c>
      <c r="J94" s="129">
        <f t="shared" si="42"/>
        <v>0</v>
      </c>
      <c r="K94" s="236"/>
      <c r="L94" s="76"/>
      <c r="M94" s="76"/>
      <c r="N94" s="76"/>
    </row>
    <row r="95" spans="1:14" x14ac:dyDescent="0.2">
      <c r="A95" s="157">
        <v>86</v>
      </c>
      <c r="B95" s="161" t="s">
        <v>222</v>
      </c>
      <c r="C95" s="162">
        <v>6400080240</v>
      </c>
      <c r="D95" s="59" t="s">
        <v>228</v>
      </c>
      <c r="E95" s="59"/>
      <c r="F95" s="69">
        <f>F96</f>
        <v>0</v>
      </c>
      <c r="G95" s="69">
        <f t="shared" ref="G95:H96" si="48">G96</f>
        <v>0</v>
      </c>
      <c r="H95" s="69">
        <f t="shared" si="48"/>
        <v>0</v>
      </c>
      <c r="I95" s="75">
        <f t="shared" si="41"/>
        <v>0</v>
      </c>
      <c r="J95" s="129">
        <v>0</v>
      </c>
      <c r="K95" s="236"/>
      <c r="L95" s="76"/>
      <c r="M95" s="76"/>
      <c r="N95" s="76"/>
    </row>
    <row r="96" spans="1:14" x14ac:dyDescent="0.2">
      <c r="A96" s="157">
        <v>87</v>
      </c>
      <c r="B96" s="60" t="s">
        <v>144</v>
      </c>
      <c r="C96" s="162">
        <v>6400080240</v>
      </c>
      <c r="D96" s="59" t="s">
        <v>164</v>
      </c>
      <c r="E96" s="59" t="s">
        <v>24</v>
      </c>
      <c r="F96" s="69">
        <f>F97</f>
        <v>0</v>
      </c>
      <c r="G96" s="69">
        <f t="shared" si="48"/>
        <v>0</v>
      </c>
      <c r="H96" s="69">
        <f t="shared" si="48"/>
        <v>0</v>
      </c>
      <c r="I96" s="75">
        <f t="shared" si="41"/>
        <v>0</v>
      </c>
      <c r="J96" s="129">
        <v>0</v>
      </c>
      <c r="K96" s="236"/>
      <c r="L96" s="76">
        <f t="shared" si="47"/>
        <v>0</v>
      </c>
      <c r="M96" s="76">
        <f t="shared" si="47"/>
        <v>0</v>
      </c>
      <c r="N96" s="76">
        <f t="shared" si="47"/>
        <v>0</v>
      </c>
    </row>
    <row r="97" spans="1:14" s="236" customFormat="1" x14ac:dyDescent="0.2">
      <c r="A97" s="157">
        <v>88</v>
      </c>
      <c r="B97" s="60" t="s">
        <v>407</v>
      </c>
      <c r="C97" s="162">
        <v>6400080240</v>
      </c>
      <c r="D97" s="59" t="s">
        <v>164</v>
      </c>
      <c r="E97" s="59" t="s">
        <v>57</v>
      </c>
      <c r="F97" s="69">
        <v>0</v>
      </c>
      <c r="G97" s="163">
        <v>0</v>
      </c>
      <c r="H97" s="163">
        <v>0</v>
      </c>
      <c r="I97" s="75">
        <f t="shared" si="41"/>
        <v>0</v>
      </c>
      <c r="J97" s="129">
        <v>0</v>
      </c>
      <c r="L97" s="76"/>
      <c r="M97" s="76"/>
      <c r="N97" s="76"/>
    </row>
    <row r="98" spans="1:14" x14ac:dyDescent="0.2">
      <c r="A98" s="157">
        <v>89</v>
      </c>
      <c r="B98" s="67" t="s">
        <v>145</v>
      </c>
      <c r="C98" s="20">
        <v>6400000000</v>
      </c>
      <c r="D98" s="42"/>
      <c r="E98" s="42"/>
      <c r="F98" s="69">
        <f>F99</f>
        <v>432</v>
      </c>
      <c r="G98" s="69">
        <f>G99</f>
        <v>424.14</v>
      </c>
      <c r="H98" s="69">
        <f>H99</f>
        <v>58.05818</v>
      </c>
      <c r="I98" s="75">
        <f t="shared" si="41"/>
        <v>366.08181999999999</v>
      </c>
      <c r="J98" s="129">
        <f t="shared" si="42"/>
        <v>13.688447210826615</v>
      </c>
      <c r="K98" s="236"/>
      <c r="L98" s="76">
        <f t="shared" si="47"/>
        <v>432000</v>
      </c>
      <c r="M98" s="76">
        <f t="shared" si="47"/>
        <v>424140</v>
      </c>
      <c r="N98" s="76">
        <f t="shared" si="47"/>
        <v>58058.18</v>
      </c>
    </row>
    <row r="99" spans="1:14" ht="38.25" x14ac:dyDescent="0.2">
      <c r="A99" s="157">
        <v>90</v>
      </c>
      <c r="B99" s="166" t="s">
        <v>161</v>
      </c>
      <c r="C99" s="162">
        <v>6400051180</v>
      </c>
      <c r="D99" s="59"/>
      <c r="E99" s="59"/>
      <c r="F99" s="107">
        <f>F100+F104</f>
        <v>432</v>
      </c>
      <c r="G99" s="107">
        <f>G100+G104</f>
        <v>424.14</v>
      </c>
      <c r="H99" s="107">
        <f>H100+H104</f>
        <v>58.05818</v>
      </c>
      <c r="I99" s="75">
        <f t="shared" si="41"/>
        <v>366.08181999999999</v>
      </c>
      <c r="J99" s="129">
        <f t="shared" si="42"/>
        <v>13.688447210826615</v>
      </c>
      <c r="K99" s="236"/>
      <c r="L99" s="76"/>
      <c r="M99" s="76"/>
      <c r="N99" s="76"/>
    </row>
    <row r="100" spans="1:14" ht="38.25" x14ac:dyDescent="0.2">
      <c r="A100" s="157">
        <v>91</v>
      </c>
      <c r="B100" s="66" t="s">
        <v>69</v>
      </c>
      <c r="C100" s="162">
        <v>6400051180</v>
      </c>
      <c r="D100" s="59" t="s">
        <v>70</v>
      </c>
      <c r="E100" s="59"/>
      <c r="F100" s="107">
        <f>F101</f>
        <v>382.68801000000002</v>
      </c>
      <c r="G100" s="107">
        <f t="shared" ref="G100:H102" si="49">G101</f>
        <v>382.68801000000002</v>
      </c>
      <c r="H100" s="107">
        <f>H101</f>
        <v>56.48498</v>
      </c>
      <c r="I100" s="75">
        <f t="shared" si="41"/>
        <v>326.20303000000001</v>
      </c>
      <c r="J100" s="129">
        <f t="shared" si="42"/>
        <v>14.760060029056044</v>
      </c>
      <c r="K100" s="236"/>
      <c r="L100" s="76"/>
      <c r="M100" s="76">
        <f>1142.45294+345.02084+3.96902</f>
        <v>1491.4427999999998</v>
      </c>
      <c r="N100" s="76"/>
    </row>
    <row r="101" spans="1:14" x14ac:dyDescent="0.2">
      <c r="A101" s="157">
        <v>92</v>
      </c>
      <c r="B101" s="62" t="s">
        <v>158</v>
      </c>
      <c r="C101" s="162">
        <v>6400051180</v>
      </c>
      <c r="D101" s="59" t="s">
        <v>74</v>
      </c>
      <c r="E101" s="59"/>
      <c r="F101" s="107">
        <f t="shared" ref="F101:F102" si="50">F102</f>
        <v>382.68801000000002</v>
      </c>
      <c r="G101" s="163">
        <f t="shared" si="49"/>
        <v>382.68801000000002</v>
      </c>
      <c r="H101" s="163">
        <f>H102</f>
        <v>56.48498</v>
      </c>
      <c r="I101" s="75">
        <f t="shared" si="41"/>
        <v>326.20303000000001</v>
      </c>
      <c r="J101" s="129">
        <f t="shared" si="42"/>
        <v>14.760060029056044</v>
      </c>
      <c r="K101" s="236"/>
      <c r="L101" s="76"/>
      <c r="M101" s="76"/>
      <c r="N101" s="76"/>
    </row>
    <row r="102" spans="1:14" x14ac:dyDescent="0.2">
      <c r="A102" s="157">
        <v>93</v>
      </c>
      <c r="B102" s="60" t="s">
        <v>146</v>
      </c>
      <c r="C102" s="162">
        <v>6400051180</v>
      </c>
      <c r="D102" s="59" t="s">
        <v>74</v>
      </c>
      <c r="E102" s="59" t="s">
        <v>147</v>
      </c>
      <c r="F102" s="107">
        <f t="shared" si="50"/>
        <v>382.68801000000002</v>
      </c>
      <c r="G102" s="163">
        <f t="shared" si="49"/>
        <v>382.68801000000002</v>
      </c>
      <c r="H102" s="163">
        <f t="shared" si="49"/>
        <v>56.48498</v>
      </c>
      <c r="I102" s="75">
        <f t="shared" si="41"/>
        <v>326.20303000000001</v>
      </c>
      <c r="J102" s="129">
        <f t="shared" si="42"/>
        <v>14.760060029056044</v>
      </c>
      <c r="K102" s="236"/>
      <c r="L102" s="76"/>
      <c r="M102" s="76"/>
      <c r="N102" s="76"/>
    </row>
    <row r="103" spans="1:14" x14ac:dyDescent="0.2">
      <c r="A103" s="157">
        <v>94</v>
      </c>
      <c r="B103" s="60" t="s">
        <v>148</v>
      </c>
      <c r="C103" s="162">
        <v>6400051180</v>
      </c>
      <c r="D103" s="59" t="s">
        <v>74</v>
      </c>
      <c r="E103" s="59" t="s">
        <v>29</v>
      </c>
      <c r="F103" s="111">
        <f>(293923.2+88764.81)/1000</f>
        <v>382.68801000000002</v>
      </c>
      <c r="G103" s="163">
        <f>293.9232+88.76481</f>
        <v>382.68801000000002</v>
      </c>
      <c r="H103" s="163">
        <f>45.0251+11.45988</f>
        <v>56.48498</v>
      </c>
      <c r="I103" s="75">
        <f t="shared" si="41"/>
        <v>326.20303000000001</v>
      </c>
      <c r="J103" s="129">
        <f t="shared" si="42"/>
        <v>14.760060029056044</v>
      </c>
      <c r="K103" s="236"/>
      <c r="L103" s="76">
        <f t="shared" si="47"/>
        <v>382688.01</v>
      </c>
      <c r="M103" s="76">
        <f t="shared" si="47"/>
        <v>382688.01</v>
      </c>
      <c r="N103" s="76">
        <f t="shared" si="47"/>
        <v>56484.98</v>
      </c>
    </row>
    <row r="104" spans="1:14" x14ac:dyDescent="0.2">
      <c r="A104" s="157">
        <v>95</v>
      </c>
      <c r="B104" s="165" t="s">
        <v>71</v>
      </c>
      <c r="C104" s="162">
        <v>6400051180</v>
      </c>
      <c r="D104" s="59" t="s">
        <v>72</v>
      </c>
      <c r="E104" s="59"/>
      <c r="F104" s="107">
        <f t="shared" ref="F104:H106" si="51">F105</f>
        <v>49.311989999999994</v>
      </c>
      <c r="G104" s="163">
        <f>G105</f>
        <v>41.451989999999995</v>
      </c>
      <c r="H104" s="163">
        <f t="shared" si="51"/>
        <v>1.5731999999999999</v>
      </c>
      <c r="I104" s="75">
        <f t="shared" si="41"/>
        <v>39.878789999999995</v>
      </c>
      <c r="J104" s="129">
        <f t="shared" si="42"/>
        <v>3.795233956198484</v>
      </c>
      <c r="K104" s="236"/>
      <c r="L104" s="76">
        <f t="shared" si="47"/>
        <v>49311.99</v>
      </c>
      <c r="M104" s="76">
        <f t="shared" si="47"/>
        <v>41451.99</v>
      </c>
      <c r="N104" s="76">
        <f t="shared" si="47"/>
        <v>1573.1999999999998</v>
      </c>
    </row>
    <row r="105" spans="1:14" ht="25.5" x14ac:dyDescent="0.2">
      <c r="A105" s="157">
        <v>96</v>
      </c>
      <c r="B105" s="165" t="s">
        <v>157</v>
      </c>
      <c r="C105" s="162">
        <v>6400051180</v>
      </c>
      <c r="D105" s="59" t="s">
        <v>73</v>
      </c>
      <c r="E105" s="59"/>
      <c r="F105" s="107">
        <f t="shared" si="51"/>
        <v>49.311989999999994</v>
      </c>
      <c r="G105" s="163">
        <f>G106</f>
        <v>41.451989999999995</v>
      </c>
      <c r="H105" s="163">
        <f t="shared" si="51"/>
        <v>1.5731999999999999</v>
      </c>
      <c r="I105" s="75">
        <f t="shared" si="41"/>
        <v>39.878789999999995</v>
      </c>
      <c r="J105" s="129">
        <f t="shared" si="42"/>
        <v>3.795233956198484</v>
      </c>
      <c r="K105" s="236"/>
      <c r="L105" s="76">
        <f t="shared" si="47"/>
        <v>49311.99</v>
      </c>
      <c r="M105" s="76">
        <f t="shared" si="47"/>
        <v>41451.99</v>
      </c>
      <c r="N105" s="76">
        <f t="shared" si="47"/>
        <v>1573.1999999999998</v>
      </c>
    </row>
    <row r="106" spans="1:14" x14ac:dyDescent="0.2">
      <c r="A106" s="157">
        <v>97</v>
      </c>
      <c r="B106" s="60" t="s">
        <v>146</v>
      </c>
      <c r="C106" s="162">
        <v>6400051180</v>
      </c>
      <c r="D106" s="59" t="s">
        <v>73</v>
      </c>
      <c r="E106" s="59" t="s">
        <v>147</v>
      </c>
      <c r="F106" s="107">
        <f t="shared" si="51"/>
        <v>49.311989999999994</v>
      </c>
      <c r="G106" s="163">
        <f>G107</f>
        <v>41.451989999999995</v>
      </c>
      <c r="H106" s="163">
        <f t="shared" si="51"/>
        <v>1.5731999999999999</v>
      </c>
      <c r="I106" s="75">
        <f t="shared" si="41"/>
        <v>39.878789999999995</v>
      </c>
      <c r="J106" s="129">
        <f t="shared" si="42"/>
        <v>3.795233956198484</v>
      </c>
      <c r="K106" s="236"/>
      <c r="L106" s="76">
        <f t="shared" si="47"/>
        <v>49311.99</v>
      </c>
      <c r="M106" s="76">
        <f t="shared" si="47"/>
        <v>41451.99</v>
      </c>
      <c r="N106" s="76">
        <f t="shared" si="47"/>
        <v>1573.1999999999998</v>
      </c>
    </row>
    <row r="107" spans="1:14" x14ac:dyDescent="0.2">
      <c r="A107" s="157">
        <v>98</v>
      </c>
      <c r="B107" s="60" t="s">
        <v>148</v>
      </c>
      <c r="C107" s="162">
        <v>6400051180</v>
      </c>
      <c r="D107" s="59" t="s">
        <v>73</v>
      </c>
      <c r="E107" s="59" t="s">
        <v>29</v>
      </c>
      <c r="F107" s="111">
        <f>(7800+1000+35500+5011.99)/1000</f>
        <v>49.311989999999994</v>
      </c>
      <c r="G107" s="111">
        <f>7.8+1+27.64+5.01199</f>
        <v>41.451989999999995</v>
      </c>
      <c r="H107" s="111">
        <f>1.5732</f>
        <v>1.5731999999999999</v>
      </c>
      <c r="I107" s="75">
        <f t="shared" si="41"/>
        <v>39.878789999999995</v>
      </c>
      <c r="J107" s="129">
        <f t="shared" si="42"/>
        <v>3.795233956198484</v>
      </c>
      <c r="K107" s="236"/>
      <c r="L107" s="76">
        <f t="shared" si="47"/>
        <v>49311.99</v>
      </c>
      <c r="M107" s="83">
        <f t="shared" si="47"/>
        <v>41451.99</v>
      </c>
      <c r="N107" s="76"/>
    </row>
    <row r="108" spans="1:14" x14ac:dyDescent="0.2">
      <c r="A108" s="157">
        <v>99</v>
      </c>
      <c r="B108" s="67" t="s">
        <v>145</v>
      </c>
      <c r="C108" s="20">
        <v>6300000000</v>
      </c>
      <c r="D108" s="59"/>
      <c r="E108" s="59"/>
      <c r="F108" s="111">
        <f>F109</f>
        <v>22</v>
      </c>
      <c r="G108" s="111">
        <f t="shared" ref="G108" si="52">G109</f>
        <v>22</v>
      </c>
      <c r="H108" s="111">
        <f>H109</f>
        <v>0</v>
      </c>
      <c r="I108" s="75">
        <f t="shared" si="41"/>
        <v>22</v>
      </c>
      <c r="J108" s="129">
        <f t="shared" si="42"/>
        <v>0</v>
      </c>
      <c r="K108" s="236"/>
      <c r="L108" s="76">
        <f t="shared" si="47"/>
        <v>22000</v>
      </c>
      <c r="M108" s="83">
        <f t="shared" si="47"/>
        <v>22000</v>
      </c>
      <c r="N108" s="76"/>
    </row>
    <row r="109" spans="1:14" ht="38.25" x14ac:dyDescent="0.2">
      <c r="A109" s="157">
        <v>100</v>
      </c>
      <c r="B109" s="112" t="s">
        <v>320</v>
      </c>
      <c r="C109" s="37" t="s">
        <v>321</v>
      </c>
      <c r="D109" s="59"/>
      <c r="E109" s="59"/>
      <c r="F109" s="111">
        <f>F110</f>
        <v>22</v>
      </c>
      <c r="G109" s="163">
        <f t="shared" ref="F109:H124" si="53">G110</f>
        <v>22</v>
      </c>
      <c r="H109" s="163">
        <f t="shared" si="53"/>
        <v>0</v>
      </c>
      <c r="I109" s="75">
        <f t="shared" si="41"/>
        <v>22</v>
      </c>
      <c r="J109" s="129">
        <f t="shared" si="42"/>
        <v>0</v>
      </c>
      <c r="K109" s="236"/>
      <c r="L109" s="76">
        <f t="shared" si="47"/>
        <v>22000</v>
      </c>
      <c r="M109" s="83">
        <f t="shared" si="47"/>
        <v>22000</v>
      </c>
      <c r="N109" s="76"/>
    </row>
    <row r="110" spans="1:14" x14ac:dyDescent="0.2">
      <c r="A110" s="157">
        <v>101</v>
      </c>
      <c r="B110" s="165" t="s">
        <v>71</v>
      </c>
      <c r="C110" s="37" t="s">
        <v>234</v>
      </c>
      <c r="D110" s="59" t="s">
        <v>72</v>
      </c>
      <c r="E110" s="59"/>
      <c r="F110" s="111">
        <f t="shared" si="53"/>
        <v>22</v>
      </c>
      <c r="G110" s="163">
        <f t="shared" si="53"/>
        <v>22</v>
      </c>
      <c r="H110" s="163">
        <f>H111</f>
        <v>0</v>
      </c>
      <c r="I110" s="75">
        <f t="shared" si="41"/>
        <v>22</v>
      </c>
      <c r="J110" s="129">
        <f t="shared" si="42"/>
        <v>0</v>
      </c>
      <c r="K110" s="236"/>
      <c r="L110" s="76">
        <f t="shared" si="47"/>
        <v>22000</v>
      </c>
      <c r="M110" s="83">
        <f t="shared" si="47"/>
        <v>22000</v>
      </c>
      <c r="N110" s="76"/>
    </row>
    <row r="111" spans="1:14" ht="25.5" x14ac:dyDescent="0.2">
      <c r="A111" s="157">
        <v>102</v>
      </c>
      <c r="B111" s="165" t="s">
        <v>157</v>
      </c>
      <c r="C111" s="162">
        <v>6300080220</v>
      </c>
      <c r="D111" s="59" t="s">
        <v>73</v>
      </c>
      <c r="E111" s="59"/>
      <c r="F111" s="111">
        <f>F112</f>
        <v>22</v>
      </c>
      <c r="G111" s="111">
        <f t="shared" si="53"/>
        <v>22</v>
      </c>
      <c r="H111" s="111">
        <f>H112</f>
        <v>0</v>
      </c>
      <c r="I111" s="75">
        <f t="shared" si="41"/>
        <v>22</v>
      </c>
      <c r="J111" s="129">
        <f t="shared" si="42"/>
        <v>0</v>
      </c>
      <c r="K111" s="236"/>
      <c r="L111" s="76">
        <f t="shared" si="47"/>
        <v>22000</v>
      </c>
      <c r="M111" s="83">
        <f t="shared" si="47"/>
        <v>22000</v>
      </c>
      <c r="N111" s="76"/>
    </row>
    <row r="112" spans="1:14" ht="25.5" x14ac:dyDescent="0.2">
      <c r="A112" s="157">
        <v>103</v>
      </c>
      <c r="B112" s="108" t="s">
        <v>186</v>
      </c>
      <c r="C112" s="37" t="s">
        <v>234</v>
      </c>
      <c r="D112" s="110" t="s">
        <v>73</v>
      </c>
      <c r="E112" s="110" t="s">
        <v>195</v>
      </c>
      <c r="F112" s="113">
        <f>F113</f>
        <v>22</v>
      </c>
      <c r="G112" s="113">
        <f t="shared" si="53"/>
        <v>22</v>
      </c>
      <c r="H112" s="113">
        <f>H113</f>
        <v>0</v>
      </c>
      <c r="I112" s="75">
        <f t="shared" si="41"/>
        <v>22</v>
      </c>
      <c r="J112" s="129">
        <f t="shared" si="42"/>
        <v>0</v>
      </c>
      <c r="K112" s="236"/>
      <c r="L112" s="76">
        <f t="shared" si="47"/>
        <v>22000</v>
      </c>
      <c r="M112" s="83">
        <f t="shared" si="47"/>
        <v>22000</v>
      </c>
      <c r="N112" s="76"/>
    </row>
    <row r="113" spans="1:14" ht="25.5" x14ac:dyDescent="0.2">
      <c r="A113" s="157">
        <v>104</v>
      </c>
      <c r="B113" s="108" t="s">
        <v>232</v>
      </c>
      <c r="C113" s="37" t="s">
        <v>234</v>
      </c>
      <c r="D113" s="110" t="s">
        <v>73</v>
      </c>
      <c r="E113" s="110" t="s">
        <v>233</v>
      </c>
      <c r="F113" s="113">
        <v>22</v>
      </c>
      <c r="G113" s="167">
        <v>22</v>
      </c>
      <c r="H113" s="167">
        <v>0</v>
      </c>
      <c r="I113" s="75">
        <f t="shared" si="41"/>
        <v>22</v>
      </c>
      <c r="J113" s="129">
        <f t="shared" si="42"/>
        <v>0</v>
      </c>
      <c r="K113" s="236"/>
      <c r="L113" s="76">
        <f t="shared" si="47"/>
        <v>22000</v>
      </c>
      <c r="M113" s="83">
        <f t="shared" si="47"/>
        <v>22000</v>
      </c>
      <c r="N113" s="76"/>
    </row>
    <row r="114" spans="1:14" x14ac:dyDescent="0.2">
      <c r="A114" s="157">
        <v>105</v>
      </c>
      <c r="B114" s="67" t="s">
        <v>145</v>
      </c>
      <c r="C114" s="20">
        <v>6400000000</v>
      </c>
      <c r="D114" s="59"/>
      <c r="E114" s="59"/>
      <c r="F114" s="111">
        <f t="shared" si="53"/>
        <v>0</v>
      </c>
      <c r="G114" s="163">
        <f>G115</f>
        <v>0</v>
      </c>
      <c r="H114" s="163">
        <f>H115</f>
        <v>0</v>
      </c>
      <c r="I114" s="75">
        <f t="shared" si="41"/>
        <v>0</v>
      </c>
      <c r="J114" s="129">
        <v>0</v>
      </c>
      <c r="K114" s="236"/>
      <c r="L114" s="76">
        <f t="shared" si="47"/>
        <v>0</v>
      </c>
      <c r="M114" s="83">
        <f t="shared" si="47"/>
        <v>0</v>
      </c>
      <c r="N114" s="76"/>
    </row>
    <row r="115" spans="1:14" ht="38.25" x14ac:dyDescent="0.2">
      <c r="A115" s="157">
        <v>106</v>
      </c>
      <c r="B115" s="112" t="s">
        <v>322</v>
      </c>
      <c r="C115" s="37" t="s">
        <v>230</v>
      </c>
      <c r="D115" s="59"/>
      <c r="E115" s="59"/>
      <c r="F115" s="111">
        <f t="shared" si="53"/>
        <v>0</v>
      </c>
      <c r="G115" s="163">
        <f>G116</f>
        <v>0</v>
      </c>
      <c r="H115" s="163">
        <f>H116</f>
        <v>0</v>
      </c>
      <c r="I115" s="75">
        <f t="shared" si="41"/>
        <v>0</v>
      </c>
      <c r="J115" s="129">
        <v>0</v>
      </c>
      <c r="K115" s="236"/>
      <c r="L115" s="76">
        <f t="shared" si="47"/>
        <v>0</v>
      </c>
      <c r="M115" s="83">
        <f t="shared" si="47"/>
        <v>0</v>
      </c>
      <c r="N115" s="76"/>
    </row>
    <row r="116" spans="1:14" x14ac:dyDescent="0.2">
      <c r="A116" s="157">
        <v>107</v>
      </c>
      <c r="B116" s="165" t="s">
        <v>71</v>
      </c>
      <c r="C116" s="37" t="s">
        <v>265</v>
      </c>
      <c r="D116" s="59" t="s">
        <v>72</v>
      </c>
      <c r="E116" s="59"/>
      <c r="F116" s="111">
        <f t="shared" si="53"/>
        <v>0</v>
      </c>
      <c r="G116" s="111">
        <f t="shared" si="53"/>
        <v>0</v>
      </c>
      <c r="H116" s="111">
        <f>H117</f>
        <v>0</v>
      </c>
      <c r="I116" s="75">
        <f t="shared" si="41"/>
        <v>0</v>
      </c>
      <c r="J116" s="129">
        <v>0</v>
      </c>
      <c r="K116" s="236"/>
      <c r="L116" s="76"/>
      <c r="M116" s="83"/>
      <c r="N116" s="76"/>
    </row>
    <row r="117" spans="1:14" ht="26.25" customHeight="1" x14ac:dyDescent="0.2">
      <c r="A117" s="157">
        <v>108</v>
      </c>
      <c r="B117" s="165" t="s">
        <v>157</v>
      </c>
      <c r="C117" s="37" t="s">
        <v>265</v>
      </c>
      <c r="D117" s="59" t="s">
        <v>73</v>
      </c>
      <c r="E117" s="59"/>
      <c r="F117" s="111">
        <f>F118</f>
        <v>0</v>
      </c>
      <c r="G117" s="111">
        <f t="shared" si="53"/>
        <v>0</v>
      </c>
      <c r="H117" s="111">
        <f>H118</f>
        <v>0</v>
      </c>
      <c r="I117" s="75">
        <f t="shared" si="41"/>
        <v>0</v>
      </c>
      <c r="J117" s="129">
        <v>0</v>
      </c>
      <c r="K117" s="236"/>
      <c r="L117" s="76"/>
      <c r="M117" s="83"/>
      <c r="N117" s="76"/>
    </row>
    <row r="118" spans="1:14" x14ac:dyDescent="0.2">
      <c r="A118" s="157">
        <v>109</v>
      </c>
      <c r="B118" s="108" t="s">
        <v>149</v>
      </c>
      <c r="C118" s="37" t="s">
        <v>265</v>
      </c>
      <c r="D118" s="110" t="s">
        <v>73</v>
      </c>
      <c r="E118" s="110" t="s">
        <v>150</v>
      </c>
      <c r="F118" s="113">
        <f>F120+F119</f>
        <v>0</v>
      </c>
      <c r="G118" s="113">
        <f t="shared" ref="G118" si="54">G120+G119</f>
        <v>0</v>
      </c>
      <c r="H118" s="113">
        <f>H120+H119</f>
        <v>0</v>
      </c>
      <c r="I118" s="75">
        <f t="shared" si="41"/>
        <v>0</v>
      </c>
      <c r="J118" s="129">
        <v>0</v>
      </c>
      <c r="K118" s="236"/>
      <c r="L118" s="76"/>
      <c r="M118" s="83"/>
      <c r="N118" s="76"/>
    </row>
    <row r="119" spans="1:14" s="249" customFormat="1" x14ac:dyDescent="0.2">
      <c r="A119" s="157">
        <v>110</v>
      </c>
      <c r="B119" s="114" t="s">
        <v>151</v>
      </c>
      <c r="C119" s="37" t="s">
        <v>389</v>
      </c>
      <c r="D119" s="110" t="s">
        <v>73</v>
      </c>
      <c r="E119" s="110" t="s">
        <v>58</v>
      </c>
      <c r="F119" s="113">
        <v>0</v>
      </c>
      <c r="G119" s="163">
        <v>0</v>
      </c>
      <c r="H119" s="163">
        <v>0</v>
      </c>
      <c r="I119" s="75">
        <f t="shared" si="41"/>
        <v>0</v>
      </c>
      <c r="J119" s="129">
        <v>0</v>
      </c>
      <c r="L119" s="76"/>
      <c r="M119" s="83"/>
      <c r="N119" s="76"/>
    </row>
    <row r="120" spans="1:14" x14ac:dyDescent="0.2">
      <c r="A120" s="157">
        <v>111</v>
      </c>
      <c r="B120" s="114" t="s">
        <v>266</v>
      </c>
      <c r="C120" s="37" t="s">
        <v>265</v>
      </c>
      <c r="D120" s="110" t="s">
        <v>73</v>
      </c>
      <c r="E120" s="110" t="s">
        <v>264</v>
      </c>
      <c r="F120" s="113">
        <v>0</v>
      </c>
      <c r="G120" s="163">
        <v>0</v>
      </c>
      <c r="H120" s="163">
        <v>0</v>
      </c>
      <c r="I120" s="75">
        <f t="shared" si="41"/>
        <v>0</v>
      </c>
      <c r="J120" s="129">
        <v>0</v>
      </c>
      <c r="K120" s="236"/>
      <c r="L120" s="76"/>
      <c r="M120" s="83"/>
      <c r="N120" s="76"/>
    </row>
    <row r="121" spans="1:14" x14ac:dyDescent="0.2">
      <c r="A121" s="157">
        <v>112</v>
      </c>
      <c r="B121" s="67" t="s">
        <v>145</v>
      </c>
      <c r="C121" s="20">
        <v>6400000000</v>
      </c>
      <c r="D121" s="115"/>
      <c r="E121" s="115"/>
      <c r="F121" s="111">
        <f>F122</f>
        <v>168</v>
      </c>
      <c r="G121" s="111">
        <f>G122+G127</f>
        <v>168</v>
      </c>
      <c r="H121" s="111">
        <f>H122+H127</f>
        <v>32.57347</v>
      </c>
      <c r="I121" s="75">
        <f t="shared" si="41"/>
        <v>135.42653000000001</v>
      </c>
      <c r="J121" s="129">
        <f t="shared" si="42"/>
        <v>19.388970238095236</v>
      </c>
      <c r="K121" s="236"/>
      <c r="L121" s="76">
        <f t="shared" si="47"/>
        <v>168000</v>
      </c>
      <c r="M121" s="83">
        <f t="shared" si="47"/>
        <v>168000</v>
      </c>
      <c r="N121" s="83">
        <f t="shared" si="47"/>
        <v>32573.47</v>
      </c>
    </row>
    <row r="122" spans="1:14" ht="38.25" x14ac:dyDescent="0.2">
      <c r="A122" s="157">
        <v>113</v>
      </c>
      <c r="B122" s="112" t="s">
        <v>323</v>
      </c>
      <c r="C122" s="37" t="s">
        <v>230</v>
      </c>
      <c r="D122" s="115"/>
      <c r="E122" s="115"/>
      <c r="F122" s="111">
        <f>F123</f>
        <v>168</v>
      </c>
      <c r="G122" s="111">
        <f t="shared" si="53"/>
        <v>168</v>
      </c>
      <c r="H122" s="111">
        <f t="shared" si="53"/>
        <v>32.57347</v>
      </c>
      <c r="I122" s="75">
        <f t="shared" si="41"/>
        <v>135.42653000000001</v>
      </c>
      <c r="J122" s="129">
        <f t="shared" si="42"/>
        <v>19.388970238095236</v>
      </c>
      <c r="K122" s="236"/>
      <c r="L122" s="76">
        <f t="shared" si="47"/>
        <v>168000</v>
      </c>
      <c r="M122" s="83">
        <f t="shared" si="47"/>
        <v>168000</v>
      </c>
      <c r="N122" s="83">
        <f t="shared" si="47"/>
        <v>32573.47</v>
      </c>
    </row>
    <row r="123" spans="1:14" x14ac:dyDescent="0.2">
      <c r="A123" s="157">
        <v>114</v>
      </c>
      <c r="B123" s="165" t="s">
        <v>71</v>
      </c>
      <c r="C123" s="37" t="s">
        <v>267</v>
      </c>
      <c r="D123" s="115" t="s">
        <v>72</v>
      </c>
      <c r="E123" s="115"/>
      <c r="F123" s="111">
        <f>F124</f>
        <v>168</v>
      </c>
      <c r="G123" s="111">
        <f t="shared" si="53"/>
        <v>168</v>
      </c>
      <c r="H123" s="111">
        <f t="shared" si="53"/>
        <v>32.57347</v>
      </c>
      <c r="I123" s="75">
        <f t="shared" si="41"/>
        <v>135.42653000000001</v>
      </c>
      <c r="J123" s="129">
        <f t="shared" si="42"/>
        <v>19.388970238095236</v>
      </c>
      <c r="K123" s="236"/>
      <c r="L123" s="76">
        <f t="shared" si="47"/>
        <v>168000</v>
      </c>
      <c r="M123" s="83">
        <f t="shared" si="47"/>
        <v>168000</v>
      </c>
      <c r="N123" s="83">
        <f t="shared" si="47"/>
        <v>32573.47</v>
      </c>
    </row>
    <row r="124" spans="1:14" ht="25.5" x14ac:dyDescent="0.2">
      <c r="A124" s="157">
        <v>115</v>
      </c>
      <c r="B124" s="165" t="s">
        <v>157</v>
      </c>
      <c r="C124" s="37" t="s">
        <v>267</v>
      </c>
      <c r="D124" s="115" t="s">
        <v>73</v>
      </c>
      <c r="E124" s="115"/>
      <c r="F124" s="111">
        <f>F125</f>
        <v>168</v>
      </c>
      <c r="G124" s="111">
        <f t="shared" si="53"/>
        <v>168</v>
      </c>
      <c r="H124" s="111">
        <f t="shared" si="53"/>
        <v>32.57347</v>
      </c>
      <c r="I124" s="75">
        <f t="shared" si="41"/>
        <v>135.42653000000001</v>
      </c>
      <c r="J124" s="129">
        <f t="shared" si="42"/>
        <v>19.388970238095236</v>
      </c>
      <c r="K124" s="236"/>
      <c r="L124" s="76">
        <f t="shared" si="47"/>
        <v>168000</v>
      </c>
      <c r="M124" s="83">
        <f t="shared" si="47"/>
        <v>168000</v>
      </c>
      <c r="N124" s="83">
        <f t="shared" si="47"/>
        <v>32573.47</v>
      </c>
    </row>
    <row r="125" spans="1:14" x14ac:dyDescent="0.2">
      <c r="A125" s="157">
        <v>116</v>
      </c>
      <c r="B125" s="116" t="s">
        <v>152</v>
      </c>
      <c r="C125" s="37" t="s">
        <v>267</v>
      </c>
      <c r="D125" s="117" t="s">
        <v>73</v>
      </c>
      <c r="E125" s="117" t="s">
        <v>30</v>
      </c>
      <c r="F125" s="113">
        <f>F126</f>
        <v>168</v>
      </c>
      <c r="G125" s="163">
        <f t="shared" ref="G125" si="55">SUM(G126)</f>
        <v>168</v>
      </c>
      <c r="H125" s="163">
        <f>SUM(H126)</f>
        <v>32.57347</v>
      </c>
      <c r="I125" s="75">
        <f t="shared" si="41"/>
        <v>135.42653000000001</v>
      </c>
      <c r="J125" s="129">
        <f t="shared" si="42"/>
        <v>19.388970238095236</v>
      </c>
      <c r="K125" s="236"/>
      <c r="L125" s="76">
        <f t="shared" si="47"/>
        <v>168000</v>
      </c>
      <c r="M125" s="83">
        <f t="shared" si="47"/>
        <v>168000</v>
      </c>
      <c r="N125" s="83">
        <f t="shared" si="47"/>
        <v>32573.47</v>
      </c>
    </row>
    <row r="126" spans="1:14" x14ac:dyDescent="0.2">
      <c r="A126" s="157">
        <v>117</v>
      </c>
      <c r="B126" s="118" t="s">
        <v>153</v>
      </c>
      <c r="C126" s="37" t="s">
        <v>267</v>
      </c>
      <c r="D126" s="117" t="s">
        <v>73</v>
      </c>
      <c r="E126" s="117" t="s">
        <v>31</v>
      </c>
      <c r="F126" s="113">
        <v>168</v>
      </c>
      <c r="G126" s="113">
        <v>168</v>
      </c>
      <c r="H126" s="113">
        <v>32.57347</v>
      </c>
      <c r="I126" s="75">
        <f t="shared" si="41"/>
        <v>135.42653000000001</v>
      </c>
      <c r="J126" s="129">
        <f t="shared" si="42"/>
        <v>19.388970238095236</v>
      </c>
      <c r="K126" s="236"/>
      <c r="L126" s="76">
        <f t="shared" si="47"/>
        <v>168000</v>
      </c>
      <c r="M126" s="83">
        <f t="shared" si="47"/>
        <v>168000</v>
      </c>
      <c r="N126" s="83">
        <f t="shared" si="47"/>
        <v>32573.47</v>
      </c>
    </row>
    <row r="127" spans="1:14" s="195" customFormat="1" x14ac:dyDescent="0.2">
      <c r="A127" s="157">
        <v>118</v>
      </c>
      <c r="B127" s="118" t="s">
        <v>153</v>
      </c>
      <c r="C127" s="37" t="s">
        <v>389</v>
      </c>
      <c r="D127" s="117" t="s">
        <v>68</v>
      </c>
      <c r="E127" s="117" t="s">
        <v>31</v>
      </c>
      <c r="F127" s="113">
        <v>0</v>
      </c>
      <c r="G127" s="113">
        <v>0</v>
      </c>
      <c r="H127" s="113">
        <v>0</v>
      </c>
      <c r="I127" s="75">
        <f t="shared" si="41"/>
        <v>0</v>
      </c>
      <c r="J127" s="129">
        <v>0</v>
      </c>
      <c r="K127" s="236"/>
      <c r="L127" s="76">
        <f t="shared" si="47"/>
        <v>0</v>
      </c>
      <c r="M127" s="83"/>
      <c r="N127" s="83"/>
    </row>
    <row r="128" spans="1:14" ht="38.25" x14ac:dyDescent="0.2">
      <c r="A128" s="157">
        <v>119</v>
      </c>
      <c r="B128" s="73" t="s">
        <v>213</v>
      </c>
      <c r="C128" s="162" t="s">
        <v>214</v>
      </c>
      <c r="D128" s="59"/>
      <c r="E128" s="59"/>
      <c r="F128" s="163">
        <f>F129</f>
        <v>1</v>
      </c>
      <c r="G128" s="163">
        <f t="shared" ref="G128:H132" si="56">G129</f>
        <v>1</v>
      </c>
      <c r="H128" s="163">
        <f t="shared" si="56"/>
        <v>0</v>
      </c>
      <c r="I128" s="75">
        <f t="shared" si="41"/>
        <v>1</v>
      </c>
      <c r="J128" s="129">
        <f t="shared" si="42"/>
        <v>0</v>
      </c>
      <c r="K128" s="236"/>
      <c r="L128" s="76">
        <f t="shared" si="47"/>
        <v>1000</v>
      </c>
      <c r="M128" s="83">
        <f t="shared" si="47"/>
        <v>1000</v>
      </c>
      <c r="N128" s="83">
        <f t="shared" si="47"/>
        <v>0</v>
      </c>
    </row>
    <row r="129" spans="1:14" x14ac:dyDescent="0.2">
      <c r="A129" s="157">
        <v>120</v>
      </c>
      <c r="B129" s="161" t="s">
        <v>215</v>
      </c>
      <c r="C129" s="162">
        <v>6400080000</v>
      </c>
      <c r="D129" s="59"/>
      <c r="E129" s="59"/>
      <c r="F129" s="163">
        <f>F130</f>
        <v>1</v>
      </c>
      <c r="G129" s="163">
        <f t="shared" si="56"/>
        <v>1</v>
      </c>
      <c r="H129" s="163">
        <f t="shared" si="56"/>
        <v>0</v>
      </c>
      <c r="I129" s="75">
        <f t="shared" si="41"/>
        <v>1</v>
      </c>
      <c r="J129" s="129">
        <f t="shared" si="42"/>
        <v>0</v>
      </c>
      <c r="K129" s="236"/>
      <c r="L129" s="76">
        <f t="shared" si="47"/>
        <v>1000</v>
      </c>
      <c r="M129" s="83">
        <f t="shared" si="47"/>
        <v>1000</v>
      </c>
      <c r="N129" s="83">
        <f t="shared" si="47"/>
        <v>0</v>
      </c>
    </row>
    <row r="130" spans="1:14" ht="38.25" x14ac:dyDescent="0.2">
      <c r="A130" s="157">
        <v>121</v>
      </c>
      <c r="B130" s="161" t="s">
        <v>216</v>
      </c>
      <c r="C130" s="162">
        <v>6400087000</v>
      </c>
      <c r="D130" s="162">
        <v>500</v>
      </c>
      <c r="E130" s="59"/>
      <c r="F130" s="163">
        <f>F131</f>
        <v>1</v>
      </c>
      <c r="G130" s="163">
        <f t="shared" si="56"/>
        <v>1</v>
      </c>
      <c r="H130" s="163">
        <f t="shared" si="56"/>
        <v>0</v>
      </c>
      <c r="I130" s="75">
        <f t="shared" si="41"/>
        <v>1</v>
      </c>
      <c r="J130" s="129">
        <f t="shared" si="42"/>
        <v>0</v>
      </c>
      <c r="K130" s="236"/>
      <c r="L130" s="76">
        <f t="shared" si="47"/>
        <v>1000</v>
      </c>
      <c r="M130" s="83">
        <f t="shared" si="47"/>
        <v>1000</v>
      </c>
      <c r="N130" s="83">
        <f t="shared" si="47"/>
        <v>0</v>
      </c>
    </row>
    <row r="131" spans="1:14" x14ac:dyDescent="0.2">
      <c r="A131" s="157">
        <v>122</v>
      </c>
      <c r="B131" s="161" t="s">
        <v>217</v>
      </c>
      <c r="C131" s="162">
        <v>6400087000</v>
      </c>
      <c r="D131" s="162">
        <v>540</v>
      </c>
      <c r="E131" s="59"/>
      <c r="F131" s="163">
        <f>F132</f>
        <v>1</v>
      </c>
      <c r="G131" s="163">
        <f t="shared" si="56"/>
        <v>1</v>
      </c>
      <c r="H131" s="163">
        <f t="shared" si="56"/>
        <v>0</v>
      </c>
      <c r="I131" s="75">
        <f t="shared" si="41"/>
        <v>1</v>
      </c>
      <c r="J131" s="129">
        <f t="shared" si="42"/>
        <v>0</v>
      </c>
      <c r="K131" s="236"/>
      <c r="L131" s="76">
        <f t="shared" si="47"/>
        <v>1000</v>
      </c>
      <c r="M131" s="83">
        <f t="shared" si="47"/>
        <v>1000</v>
      </c>
      <c r="N131" s="83">
        <f t="shared" si="47"/>
        <v>0</v>
      </c>
    </row>
    <row r="132" spans="1:14" x14ac:dyDescent="0.2">
      <c r="A132" s="157">
        <v>123</v>
      </c>
      <c r="B132" s="168" t="s">
        <v>154</v>
      </c>
      <c r="C132" s="162">
        <v>6400087000</v>
      </c>
      <c r="D132" s="162">
        <v>540</v>
      </c>
      <c r="E132" s="59" t="s">
        <v>226</v>
      </c>
      <c r="F132" s="163">
        <f>F133</f>
        <v>1</v>
      </c>
      <c r="G132" s="163">
        <f t="shared" si="56"/>
        <v>1</v>
      </c>
      <c r="H132" s="163">
        <f t="shared" si="56"/>
        <v>0</v>
      </c>
      <c r="I132" s="75">
        <f t="shared" si="41"/>
        <v>1</v>
      </c>
      <c r="J132" s="129">
        <f t="shared" si="42"/>
        <v>0</v>
      </c>
      <c r="K132" s="236"/>
      <c r="L132" s="83">
        <f t="shared" si="47"/>
        <v>1000</v>
      </c>
      <c r="M132" s="83">
        <f t="shared" si="47"/>
        <v>1000</v>
      </c>
      <c r="N132" s="83">
        <f t="shared" si="47"/>
        <v>0</v>
      </c>
    </row>
    <row r="133" spans="1:14" x14ac:dyDescent="0.2">
      <c r="A133" s="157">
        <v>124</v>
      </c>
      <c r="B133" s="168" t="s">
        <v>212</v>
      </c>
      <c r="C133" s="162">
        <v>6400087000</v>
      </c>
      <c r="D133" s="59" t="s">
        <v>80</v>
      </c>
      <c r="E133" s="59" t="s">
        <v>28</v>
      </c>
      <c r="F133" s="163">
        <v>1</v>
      </c>
      <c r="G133" s="163">
        <v>1</v>
      </c>
      <c r="H133" s="163">
        <v>0</v>
      </c>
      <c r="I133" s="75">
        <f t="shared" si="41"/>
        <v>1</v>
      </c>
      <c r="J133" s="129">
        <f t="shared" si="42"/>
        <v>0</v>
      </c>
      <c r="K133" s="236"/>
      <c r="L133" s="83">
        <f t="shared" si="47"/>
        <v>1000</v>
      </c>
      <c r="M133" s="83">
        <f t="shared" si="47"/>
        <v>1000</v>
      </c>
      <c r="N133" s="83">
        <f t="shared" si="47"/>
        <v>0</v>
      </c>
    </row>
    <row r="134" spans="1:14" x14ac:dyDescent="0.2">
      <c r="A134" s="157">
        <v>125</v>
      </c>
      <c r="B134" s="67" t="s">
        <v>145</v>
      </c>
      <c r="C134" s="20">
        <v>6300000000</v>
      </c>
      <c r="D134" s="42"/>
      <c r="E134" s="42"/>
      <c r="F134" s="69">
        <f>F135</f>
        <v>60</v>
      </c>
      <c r="G134" s="163">
        <f t="shared" ref="G134:H143" si="57">G135</f>
        <v>60</v>
      </c>
      <c r="H134" s="163">
        <f t="shared" si="57"/>
        <v>10</v>
      </c>
      <c r="I134" s="75">
        <f t="shared" si="41"/>
        <v>50</v>
      </c>
      <c r="J134" s="129">
        <f t="shared" si="42"/>
        <v>16.666666666666664</v>
      </c>
      <c r="K134" s="236"/>
      <c r="L134" s="83">
        <f t="shared" si="47"/>
        <v>60000</v>
      </c>
      <c r="M134" s="83">
        <f t="shared" si="47"/>
        <v>60000</v>
      </c>
      <c r="N134" s="83">
        <f t="shared" si="47"/>
        <v>10000</v>
      </c>
    </row>
    <row r="135" spans="1:14" ht="25.5" x14ac:dyDescent="0.2">
      <c r="A135" s="157">
        <v>126</v>
      </c>
      <c r="B135" s="161" t="s">
        <v>238</v>
      </c>
      <c r="C135" s="162">
        <v>6300080000</v>
      </c>
      <c r="D135" s="59"/>
      <c r="E135" s="59"/>
      <c r="F135" s="69">
        <f t="shared" ref="F135:F136" si="58">F136</f>
        <v>60</v>
      </c>
      <c r="G135" s="163">
        <f t="shared" si="57"/>
        <v>60</v>
      </c>
      <c r="H135" s="163">
        <f t="shared" si="57"/>
        <v>10</v>
      </c>
      <c r="I135" s="75">
        <f t="shared" si="41"/>
        <v>50</v>
      </c>
      <c r="J135" s="129">
        <f t="shared" si="42"/>
        <v>16.666666666666664</v>
      </c>
      <c r="K135" s="236"/>
      <c r="L135" s="83">
        <f t="shared" si="47"/>
        <v>60000</v>
      </c>
      <c r="M135" s="83">
        <f t="shared" si="47"/>
        <v>60000</v>
      </c>
      <c r="N135" s="83">
        <f t="shared" si="47"/>
        <v>10000</v>
      </c>
    </row>
    <row r="136" spans="1:14" x14ac:dyDescent="0.2">
      <c r="A136" s="157">
        <v>127</v>
      </c>
      <c r="B136" s="161" t="s">
        <v>239</v>
      </c>
      <c r="C136" s="162">
        <v>6300080230</v>
      </c>
      <c r="D136" s="59" t="s">
        <v>192</v>
      </c>
      <c r="E136" s="59"/>
      <c r="F136" s="69">
        <f t="shared" si="58"/>
        <v>60</v>
      </c>
      <c r="G136" s="163">
        <f t="shared" si="57"/>
        <v>60</v>
      </c>
      <c r="H136" s="163">
        <f t="shared" si="57"/>
        <v>10</v>
      </c>
      <c r="I136" s="75">
        <f t="shared" si="41"/>
        <v>50</v>
      </c>
      <c r="J136" s="129">
        <f t="shared" si="42"/>
        <v>16.666666666666664</v>
      </c>
      <c r="K136" s="236"/>
      <c r="L136" s="83">
        <f t="shared" si="47"/>
        <v>60000</v>
      </c>
      <c r="M136" s="83">
        <f t="shared" si="47"/>
        <v>60000</v>
      </c>
      <c r="N136" s="83">
        <f t="shared" si="47"/>
        <v>10000</v>
      </c>
    </row>
    <row r="137" spans="1:14" x14ac:dyDescent="0.2">
      <c r="A137" s="157">
        <v>128</v>
      </c>
      <c r="B137" s="161" t="s">
        <v>240</v>
      </c>
      <c r="C137" s="162">
        <v>6300080230</v>
      </c>
      <c r="D137" s="59" t="s">
        <v>49</v>
      </c>
      <c r="E137" s="59"/>
      <c r="F137" s="69">
        <f>F138</f>
        <v>60</v>
      </c>
      <c r="G137" s="69">
        <f t="shared" si="57"/>
        <v>60</v>
      </c>
      <c r="H137" s="69">
        <f t="shared" si="57"/>
        <v>10</v>
      </c>
      <c r="I137" s="75">
        <f t="shared" si="41"/>
        <v>50</v>
      </c>
      <c r="J137" s="129">
        <f t="shared" si="42"/>
        <v>16.666666666666664</v>
      </c>
      <c r="K137" s="236"/>
      <c r="L137" s="83">
        <f t="shared" si="47"/>
        <v>60000</v>
      </c>
      <c r="M137" s="83">
        <f t="shared" si="47"/>
        <v>60000</v>
      </c>
      <c r="N137" s="76"/>
    </row>
    <row r="138" spans="1:14" x14ac:dyDescent="0.2">
      <c r="A138" s="157">
        <v>129</v>
      </c>
      <c r="B138" s="60" t="s">
        <v>241</v>
      </c>
      <c r="C138" s="162">
        <v>6300080230</v>
      </c>
      <c r="D138" s="59" t="s">
        <v>49</v>
      </c>
      <c r="E138" s="59" t="s">
        <v>124</v>
      </c>
      <c r="F138" s="69">
        <f>F139</f>
        <v>60</v>
      </c>
      <c r="G138" s="163">
        <f t="shared" si="57"/>
        <v>60</v>
      </c>
      <c r="H138" s="163">
        <f t="shared" si="57"/>
        <v>10</v>
      </c>
      <c r="I138" s="75">
        <f t="shared" si="41"/>
        <v>50</v>
      </c>
      <c r="J138" s="129">
        <f t="shared" si="42"/>
        <v>16.666666666666664</v>
      </c>
      <c r="K138" s="236"/>
      <c r="L138" s="83">
        <f t="shared" si="47"/>
        <v>60000</v>
      </c>
      <c r="M138" s="83">
        <f t="shared" si="47"/>
        <v>60000</v>
      </c>
      <c r="N138" s="76"/>
    </row>
    <row r="139" spans="1:14" x14ac:dyDescent="0.2">
      <c r="A139" s="157">
        <v>130</v>
      </c>
      <c r="B139" s="161" t="s">
        <v>242</v>
      </c>
      <c r="C139" s="162">
        <v>6300080230</v>
      </c>
      <c r="D139" s="59" t="s">
        <v>49</v>
      </c>
      <c r="E139" s="59" t="s">
        <v>243</v>
      </c>
      <c r="F139" s="69">
        <v>60</v>
      </c>
      <c r="G139" s="163">
        <v>60</v>
      </c>
      <c r="H139" s="163">
        <v>10</v>
      </c>
      <c r="I139" s="75">
        <f t="shared" ref="I139:I144" si="59">G139-H139</f>
        <v>50</v>
      </c>
      <c r="J139" s="129">
        <f t="shared" ref="J139:J144" si="60">H139/G139*100</f>
        <v>16.666666666666664</v>
      </c>
      <c r="K139" s="236"/>
      <c r="L139" s="130">
        <f t="shared" si="47"/>
        <v>60000</v>
      </c>
      <c r="M139" s="130">
        <f t="shared" si="47"/>
        <v>60000</v>
      </c>
      <c r="N139" s="76"/>
    </row>
    <row r="140" spans="1:14" s="197" customFormat="1" x14ac:dyDescent="0.2">
      <c r="A140" s="157">
        <v>131</v>
      </c>
      <c r="B140" s="67" t="s">
        <v>145</v>
      </c>
      <c r="C140" s="20">
        <v>6300000000</v>
      </c>
      <c r="D140" s="42"/>
      <c r="E140" s="42"/>
      <c r="F140" s="69">
        <f>F141</f>
        <v>0</v>
      </c>
      <c r="G140" s="69">
        <f t="shared" ref="G140:H140" si="61">G141</f>
        <v>0</v>
      </c>
      <c r="H140" s="69">
        <f t="shared" si="61"/>
        <v>0</v>
      </c>
      <c r="I140" s="75">
        <f t="shared" si="59"/>
        <v>0</v>
      </c>
      <c r="J140" s="129">
        <v>0</v>
      </c>
      <c r="K140" s="236"/>
      <c r="L140" s="130"/>
      <c r="M140" s="130"/>
      <c r="N140" s="76"/>
    </row>
    <row r="141" spans="1:14" s="197" customFormat="1" x14ac:dyDescent="0.2">
      <c r="A141" s="157">
        <v>132</v>
      </c>
      <c r="B141" s="161" t="s">
        <v>398</v>
      </c>
      <c r="C141" s="162">
        <v>6400091190</v>
      </c>
      <c r="D141" s="59" t="s">
        <v>192</v>
      </c>
      <c r="E141" s="59"/>
      <c r="F141" s="69">
        <f t="shared" ref="F141" si="62">F142</f>
        <v>0</v>
      </c>
      <c r="G141" s="163">
        <f t="shared" si="57"/>
        <v>0</v>
      </c>
      <c r="H141" s="163">
        <f t="shared" si="57"/>
        <v>0</v>
      </c>
      <c r="I141" s="75">
        <f t="shared" si="59"/>
        <v>0</v>
      </c>
      <c r="J141" s="129">
        <v>0</v>
      </c>
      <c r="K141" s="236"/>
      <c r="L141" s="130"/>
      <c r="M141" s="130"/>
      <c r="N141" s="76"/>
    </row>
    <row r="142" spans="1:14" s="197" customFormat="1" x14ac:dyDescent="0.2">
      <c r="A142" s="157">
        <v>133</v>
      </c>
      <c r="B142" s="161" t="s">
        <v>189</v>
      </c>
      <c r="C142" s="162">
        <v>6400091190</v>
      </c>
      <c r="D142" s="59" t="s">
        <v>397</v>
      </c>
      <c r="E142" s="59"/>
      <c r="F142" s="69">
        <f>F143</f>
        <v>0</v>
      </c>
      <c r="G142" s="69">
        <f t="shared" si="57"/>
        <v>0</v>
      </c>
      <c r="H142" s="69">
        <f t="shared" si="57"/>
        <v>0</v>
      </c>
      <c r="I142" s="75">
        <f t="shared" si="59"/>
        <v>0</v>
      </c>
      <c r="J142" s="129">
        <v>0</v>
      </c>
      <c r="K142" s="236"/>
      <c r="L142" s="130"/>
      <c r="M142" s="130"/>
      <c r="N142" s="76"/>
    </row>
    <row r="143" spans="1:14" s="197" customFormat="1" x14ac:dyDescent="0.2">
      <c r="A143" s="157">
        <v>134</v>
      </c>
      <c r="B143" s="60" t="s">
        <v>241</v>
      </c>
      <c r="C143" s="162">
        <v>6400091190</v>
      </c>
      <c r="D143" s="59" t="s">
        <v>397</v>
      </c>
      <c r="E143" s="59" t="s">
        <v>124</v>
      </c>
      <c r="F143" s="69">
        <f>F144</f>
        <v>0</v>
      </c>
      <c r="G143" s="163">
        <f t="shared" si="57"/>
        <v>0</v>
      </c>
      <c r="H143" s="163">
        <f t="shared" si="57"/>
        <v>0</v>
      </c>
      <c r="I143" s="75">
        <f t="shared" si="59"/>
        <v>0</v>
      </c>
      <c r="J143" s="129">
        <v>0</v>
      </c>
      <c r="K143" s="236"/>
      <c r="L143" s="130"/>
      <c r="M143" s="130"/>
      <c r="N143" s="76"/>
    </row>
    <row r="144" spans="1:14" s="197" customFormat="1" ht="13.5" thickBot="1" x14ac:dyDescent="0.25">
      <c r="A144" s="157">
        <v>135</v>
      </c>
      <c r="B144" s="198" t="s">
        <v>395</v>
      </c>
      <c r="C144" s="199">
        <v>6400091190</v>
      </c>
      <c r="D144" s="200" t="s">
        <v>397</v>
      </c>
      <c r="E144" s="200" t="s">
        <v>396</v>
      </c>
      <c r="F144" s="201">
        <v>0</v>
      </c>
      <c r="G144" s="202">
        <v>0</v>
      </c>
      <c r="H144" s="202">
        <v>0</v>
      </c>
      <c r="I144" s="75">
        <f t="shared" si="59"/>
        <v>0</v>
      </c>
      <c r="J144" s="129">
        <v>0</v>
      </c>
      <c r="K144" s="236"/>
      <c r="L144" s="130"/>
      <c r="M144" s="130"/>
      <c r="N144" s="76"/>
    </row>
    <row r="145" spans="1:14" ht="13.5" thickBot="1" x14ac:dyDescent="0.25">
      <c r="A145" s="305" t="s">
        <v>291</v>
      </c>
      <c r="B145" s="306"/>
      <c r="C145" s="306"/>
      <c r="D145" s="306"/>
      <c r="E145" s="307"/>
      <c r="F145" s="203">
        <f>F80+F52+F46+F40+F10+F98+F128+F134+F74+F108+F29+F114+F121+F140+F36</f>
        <v>10954.556</v>
      </c>
      <c r="G145" s="203">
        <f>G80+G52+G46+G40+G10+G98+G128+G134+G74+G108+G29+G114+G121+G140+G36</f>
        <v>11783.596949999999</v>
      </c>
      <c r="H145" s="203">
        <f>H80+H52+H46+H40+H10+H98+H128+H134+H74+H108+H29+H114+H121+H140+H36</f>
        <v>2375.86652</v>
      </c>
      <c r="I145" s="203">
        <f>I80+I52+I46+I40+I10+I98+I128+I134+I74+I108+I29+I114+I121</f>
        <v>9406.7304299999996</v>
      </c>
      <c r="J145" s="204">
        <f t="shared" ref="J145" si="63">H145/G145*100</f>
        <v>20.162489688685426</v>
      </c>
      <c r="K145" s="236"/>
      <c r="L145" s="236"/>
      <c r="M145" s="236"/>
      <c r="N145" s="236"/>
    </row>
    <row r="146" spans="1:14" x14ac:dyDescent="0.2">
      <c r="B146" s="236"/>
      <c r="C146" s="236"/>
      <c r="D146" s="236"/>
      <c r="E146" s="236"/>
      <c r="F146" s="236"/>
      <c r="G146" s="236"/>
      <c r="H146" s="236"/>
      <c r="I146" s="236"/>
      <c r="J146" s="236"/>
      <c r="K146" s="236"/>
      <c r="L146" s="236"/>
      <c r="M146" s="236"/>
      <c r="N146" s="236"/>
    </row>
    <row r="147" spans="1:14" x14ac:dyDescent="0.2">
      <c r="B147" s="236"/>
      <c r="C147" s="236"/>
      <c r="D147" s="236"/>
      <c r="E147" s="236"/>
      <c r="F147" s="78"/>
      <c r="G147" s="78"/>
      <c r="H147" s="78"/>
      <c r="I147" s="78"/>
      <c r="J147" s="236"/>
      <c r="K147" s="236"/>
      <c r="L147" s="236"/>
      <c r="M147" s="236"/>
      <c r="N147" s="236"/>
    </row>
    <row r="148" spans="1:14" x14ac:dyDescent="0.2">
      <c r="B148" s="236"/>
      <c r="C148" s="236"/>
      <c r="D148" s="236"/>
      <c r="E148" s="236"/>
      <c r="F148" s="236"/>
      <c r="G148" s="236"/>
      <c r="H148" s="236"/>
      <c r="I148" s="236"/>
      <c r="J148" s="236"/>
      <c r="K148" s="236"/>
      <c r="L148" s="236"/>
      <c r="M148" s="236"/>
      <c r="N148" s="236"/>
    </row>
    <row r="149" spans="1:14" x14ac:dyDescent="0.2">
      <c r="B149" s="236"/>
      <c r="C149" s="236"/>
      <c r="D149" s="236"/>
      <c r="E149" s="236"/>
      <c r="F149" s="78">
        <f>F145*1000</f>
        <v>10954556</v>
      </c>
      <c r="G149" s="78">
        <f t="shared" ref="G149:H149" si="64">G145*1000</f>
        <v>11783596.949999999</v>
      </c>
      <c r="H149" s="78">
        <f t="shared" si="64"/>
        <v>2375866.52</v>
      </c>
      <c r="I149" s="78"/>
      <c r="J149" s="236"/>
      <c r="K149" s="236"/>
      <c r="L149" s="236"/>
      <c r="M149" s="236"/>
      <c r="N149" s="236"/>
    </row>
    <row r="150" spans="1:14" x14ac:dyDescent="0.2">
      <c r="B150" s="236"/>
      <c r="C150" s="236"/>
      <c r="D150" s="236"/>
      <c r="E150" s="236"/>
      <c r="F150" s="236"/>
      <c r="G150" s="236"/>
      <c r="H150" s="236"/>
      <c r="I150" s="236"/>
      <c r="J150" s="236"/>
      <c r="K150" s="236"/>
      <c r="L150" s="236"/>
      <c r="M150" s="236"/>
      <c r="N150" s="236"/>
    </row>
    <row r="151" spans="1:14" x14ac:dyDescent="0.2">
      <c r="B151" s="236"/>
      <c r="C151" s="236"/>
      <c r="D151" s="236"/>
      <c r="E151" s="236"/>
      <c r="F151" s="78">
        <f>F149-Пр.3!K50</f>
        <v>0</v>
      </c>
      <c r="G151" s="78">
        <f>G149-11783596.95</f>
        <v>0</v>
      </c>
      <c r="H151" s="78">
        <f>H149-2375866.52</f>
        <v>0</v>
      </c>
      <c r="I151" s="78"/>
      <c r="J151" s="236"/>
      <c r="K151" s="236"/>
      <c r="L151" s="236"/>
      <c r="M151" s="236"/>
      <c r="N151" s="236"/>
    </row>
    <row r="153" spans="1:14" x14ac:dyDescent="0.2">
      <c r="F153" s="22"/>
    </row>
  </sheetData>
  <mergeCells count="5">
    <mergeCell ref="E1:J1"/>
    <mergeCell ref="A2:J2"/>
    <mergeCell ref="A5:J5"/>
    <mergeCell ref="D3:K3"/>
    <mergeCell ref="A145:E145"/>
  </mergeCells>
  <pageMargins left="0.39370078740157483" right="7.874015748031496E-2" top="0.19685039370078741" bottom="0.19685039370078741" header="0.15748031496062992" footer="0.15748031496062992"/>
  <pageSetup paperSize="9" scale="55" orientation="portrait" horizontalDpi="300" verticalDpi="300" r:id="rId1"/>
  <rowBreaks count="1" manualBreakCount="1">
    <brk id="57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47"/>
  <sheetViews>
    <sheetView topLeftCell="C117" zoomScaleNormal="100" zoomScaleSheetLayoutView="80" workbookViewId="0">
      <selection activeCell="G147" sqref="G147"/>
    </sheetView>
  </sheetViews>
  <sheetFormatPr defaultRowHeight="15.75" x14ac:dyDescent="0.25"/>
  <cols>
    <col min="1" max="1" width="6.85546875" style="1" customWidth="1"/>
    <col min="2" max="2" width="58.140625" style="8" customWidth="1"/>
    <col min="3" max="3" width="9.85546875" style="8" customWidth="1"/>
    <col min="4" max="4" width="9.85546875" style="5" customWidth="1"/>
    <col min="5" max="5" width="12.85546875" style="1" customWidth="1"/>
    <col min="6" max="6" width="8.7109375" style="9" customWidth="1"/>
    <col min="7" max="7" width="7.28515625" style="1" customWidth="1"/>
    <col min="8" max="8" width="16.28515625" style="1" customWidth="1"/>
    <col min="9" max="9" width="13.85546875" style="1" customWidth="1"/>
    <col min="10" max="10" width="13" style="1" customWidth="1"/>
    <col min="11" max="11" width="11.28515625" style="7" customWidth="1"/>
    <col min="12" max="12" width="10.7109375" style="1" customWidth="1"/>
    <col min="13" max="13" width="11.85546875" style="1" bestFit="1" customWidth="1"/>
    <col min="14" max="14" width="11.5703125" style="1" customWidth="1"/>
    <col min="15" max="15" width="13" style="1" customWidth="1"/>
    <col min="16" max="16" width="10" style="1" bestFit="1" customWidth="1"/>
    <col min="17" max="16384" width="9.140625" style="1"/>
  </cols>
  <sheetData>
    <row r="1" spans="1:15" ht="19.5" customHeight="1" x14ac:dyDescent="0.25">
      <c r="A1" s="4"/>
      <c r="B1" s="16"/>
      <c r="C1" s="9"/>
      <c r="D1" s="9"/>
      <c r="E1" s="9"/>
      <c r="F1" s="302" t="s">
        <v>418</v>
      </c>
      <c r="G1" s="302"/>
      <c r="H1" s="302"/>
      <c r="I1" s="303"/>
      <c r="J1" s="303"/>
      <c r="K1" s="303"/>
      <c r="L1" s="15"/>
      <c r="M1" s="15"/>
      <c r="N1" s="15"/>
    </row>
    <row r="2" spans="1:15" ht="15" customHeight="1" x14ac:dyDescent="0.25">
      <c r="A2" s="4"/>
      <c r="B2" s="284" t="s">
        <v>401</v>
      </c>
      <c r="C2" s="284"/>
      <c r="D2" s="284"/>
      <c r="E2" s="284"/>
      <c r="F2" s="284"/>
      <c r="G2" s="284"/>
      <c r="H2" s="284"/>
      <c r="I2" s="285"/>
      <c r="J2" s="285"/>
      <c r="K2" s="285"/>
      <c r="L2" s="15"/>
      <c r="M2" s="15"/>
      <c r="N2" s="15"/>
    </row>
    <row r="3" spans="1:15" ht="15.75" customHeight="1" x14ac:dyDescent="0.25">
      <c r="A3" s="4"/>
      <c r="B3" s="17"/>
      <c r="C3" s="146"/>
      <c r="D3" s="146"/>
      <c r="E3" s="303" t="s">
        <v>422</v>
      </c>
      <c r="F3" s="303"/>
      <c r="G3" s="303"/>
      <c r="H3" s="303"/>
      <c r="I3" s="303"/>
      <c r="J3" s="303"/>
      <c r="K3" s="303"/>
      <c r="L3" s="15"/>
      <c r="M3" s="15"/>
      <c r="N3" s="15"/>
    </row>
    <row r="4" spans="1:15" ht="15.75" customHeight="1" x14ac:dyDescent="0.25">
      <c r="A4" s="4"/>
      <c r="B4" s="10"/>
      <c r="C4" s="10"/>
      <c r="D4" s="11"/>
      <c r="E4" s="4"/>
      <c r="F4" s="12"/>
      <c r="G4" s="4"/>
      <c r="H4" s="4"/>
      <c r="I4" s="4"/>
      <c r="J4" s="4"/>
      <c r="K4" s="4"/>
    </row>
    <row r="5" spans="1:15" ht="20.25" customHeight="1" x14ac:dyDescent="0.3">
      <c r="A5" s="263" t="s">
        <v>461</v>
      </c>
      <c r="B5" s="263"/>
      <c r="C5" s="263"/>
      <c r="D5" s="263"/>
      <c r="E5" s="311"/>
      <c r="F5" s="311"/>
      <c r="G5" s="311"/>
      <c r="H5" s="311"/>
      <c r="I5" s="311"/>
      <c r="J5" s="311"/>
      <c r="K5" s="311"/>
    </row>
    <row r="6" spans="1:15" ht="16.5" thickBot="1" x14ac:dyDescent="0.3">
      <c r="A6" s="283"/>
      <c r="B6" s="283"/>
      <c r="C6" s="283"/>
      <c r="D6" s="283"/>
      <c r="E6" s="283"/>
      <c r="F6" s="283"/>
      <c r="G6" s="283"/>
      <c r="H6" s="283"/>
      <c r="I6" s="283"/>
      <c r="J6" s="283"/>
      <c r="K6" s="283"/>
      <c r="L6" s="312"/>
      <c r="M6" s="312"/>
      <c r="N6" s="312"/>
    </row>
    <row r="7" spans="1:15" ht="91.5" customHeight="1" thickBot="1" x14ac:dyDescent="0.25">
      <c r="A7" s="32" t="s">
        <v>53</v>
      </c>
      <c r="B7" s="33" t="s">
        <v>13</v>
      </c>
      <c r="C7" s="33" t="s">
        <v>23</v>
      </c>
      <c r="D7" s="33" t="s">
        <v>14</v>
      </c>
      <c r="E7" s="33" t="s">
        <v>15</v>
      </c>
      <c r="F7" s="33" t="s">
        <v>16</v>
      </c>
      <c r="G7" s="33" t="s">
        <v>36</v>
      </c>
      <c r="H7" s="169" t="s">
        <v>457</v>
      </c>
      <c r="I7" s="93" t="s">
        <v>458</v>
      </c>
      <c r="J7" s="170" t="s">
        <v>459</v>
      </c>
      <c r="K7" s="94" t="s">
        <v>280</v>
      </c>
      <c r="L7" s="6"/>
      <c r="M7" s="4"/>
    </row>
    <row r="8" spans="1:15" ht="13.5" thickBot="1" x14ac:dyDescent="0.25">
      <c r="A8" s="244">
        <v>1</v>
      </c>
      <c r="B8" s="245">
        <v>2</v>
      </c>
      <c r="C8" s="245">
        <v>3</v>
      </c>
      <c r="D8" s="245">
        <v>4</v>
      </c>
      <c r="E8" s="245">
        <v>5</v>
      </c>
      <c r="F8" s="245">
        <v>6</v>
      </c>
      <c r="G8" s="245">
        <v>7</v>
      </c>
      <c r="H8" s="245">
        <v>8</v>
      </c>
      <c r="I8" s="245">
        <v>9</v>
      </c>
      <c r="J8" s="245">
        <v>10</v>
      </c>
      <c r="K8" s="246">
        <v>11</v>
      </c>
      <c r="L8" s="6"/>
      <c r="M8" s="4"/>
    </row>
    <row r="9" spans="1:15" ht="13.5" x14ac:dyDescent="0.2">
      <c r="A9" s="238">
        <v>1</v>
      </c>
      <c r="B9" s="55" t="s">
        <v>8</v>
      </c>
      <c r="C9" s="56">
        <v>807</v>
      </c>
      <c r="D9" s="57"/>
      <c r="E9" s="57"/>
      <c r="F9" s="57"/>
      <c r="G9" s="58"/>
      <c r="H9" s="171">
        <f>H10+H67+H90+H102+H78</f>
        <v>10893.555999999999</v>
      </c>
      <c r="I9" s="171">
        <f>I10+I67+I90+I102+I78</f>
        <v>11722.596949999997</v>
      </c>
      <c r="J9" s="171">
        <f>J10+J67+J90+J102+J78</f>
        <v>2365.86652</v>
      </c>
      <c r="K9" s="172">
        <f>J9/I9*100</f>
        <v>20.182102396687796</v>
      </c>
      <c r="L9" s="13"/>
      <c r="M9" s="14"/>
      <c r="N9" s="3"/>
    </row>
    <row r="10" spans="1:15" s="3" customFormat="1" ht="12.75" x14ac:dyDescent="0.2">
      <c r="A10" s="34">
        <v>2</v>
      </c>
      <c r="B10" s="43" t="s">
        <v>17</v>
      </c>
      <c r="C10" s="35">
        <v>807</v>
      </c>
      <c r="D10" s="36" t="s">
        <v>24</v>
      </c>
      <c r="E10" s="36"/>
      <c r="F10" s="36"/>
      <c r="G10" s="37"/>
      <c r="H10" s="173">
        <f>H11+H18+H23+H50+H64+H44</f>
        <v>8592.2649999999994</v>
      </c>
      <c r="I10" s="173">
        <f t="shared" ref="I10:J10" si="0">I11+I18+I23+I50+I64+I44</f>
        <v>8699.8599999999988</v>
      </c>
      <c r="J10" s="173">
        <f t="shared" si="0"/>
        <v>1855.54934</v>
      </c>
      <c r="K10" s="174">
        <f>J10/I10*100</f>
        <v>21.328496550519208</v>
      </c>
      <c r="L10" s="1"/>
      <c r="M10" s="1"/>
      <c r="N10" s="1"/>
    </row>
    <row r="11" spans="1:15" ht="25.5" x14ac:dyDescent="0.2">
      <c r="A11" s="34">
        <v>3</v>
      </c>
      <c r="B11" s="44" t="s">
        <v>18</v>
      </c>
      <c r="C11" s="35">
        <v>807</v>
      </c>
      <c r="D11" s="37" t="s">
        <v>25</v>
      </c>
      <c r="E11" s="37"/>
      <c r="F11" s="37"/>
      <c r="G11" s="37"/>
      <c r="H11" s="173">
        <f>H12</f>
        <v>948.13983000000007</v>
      </c>
      <c r="I11" s="173">
        <f t="shared" ref="I11:J12" si="1">I12</f>
        <v>948.13983000000007</v>
      </c>
      <c r="J11" s="173">
        <f t="shared" si="1"/>
        <v>176.68997999999999</v>
      </c>
      <c r="K11" s="174">
        <f t="shared" ref="K11:K81" si="2">J11/I11*100</f>
        <v>18.635434817668191</v>
      </c>
      <c r="M11" s="78">
        <f>H11*1000</f>
        <v>948139.83000000007</v>
      </c>
      <c r="N11" s="78">
        <f>I11*1000</f>
        <v>948139.83000000007</v>
      </c>
    </row>
    <row r="12" spans="1:15" ht="12.75" x14ac:dyDescent="0.2">
      <c r="A12" s="34">
        <v>4</v>
      </c>
      <c r="B12" s="242" t="s">
        <v>140</v>
      </c>
      <c r="C12" s="35">
        <v>807</v>
      </c>
      <c r="D12" s="37" t="s">
        <v>25</v>
      </c>
      <c r="E12" s="37" t="s">
        <v>273</v>
      </c>
      <c r="F12" s="37"/>
      <c r="G12" s="37"/>
      <c r="H12" s="173">
        <f>H13</f>
        <v>948.13983000000007</v>
      </c>
      <c r="I12" s="173">
        <f t="shared" si="1"/>
        <v>948.13983000000007</v>
      </c>
      <c r="J12" s="173">
        <f t="shared" si="1"/>
        <v>176.68997999999999</v>
      </c>
      <c r="K12" s="174">
        <f t="shared" si="2"/>
        <v>18.635434817668191</v>
      </c>
      <c r="M12" s="78">
        <f t="shared" ref="M12:N73" si="3">H12*1000</f>
        <v>948139.83000000007</v>
      </c>
      <c r="N12" s="78">
        <f t="shared" si="3"/>
        <v>948139.83000000007</v>
      </c>
      <c r="O12" s="78">
        <f>J12*1000</f>
        <v>176689.97999999998</v>
      </c>
    </row>
    <row r="13" spans="1:15" ht="25.5" x14ac:dyDescent="0.2">
      <c r="A13" s="34">
        <v>5</v>
      </c>
      <c r="B13" s="242" t="s">
        <v>141</v>
      </c>
      <c r="C13" s="247">
        <v>807</v>
      </c>
      <c r="D13" s="37" t="s">
        <v>25</v>
      </c>
      <c r="E13" s="37" t="s">
        <v>273</v>
      </c>
      <c r="F13" s="37" t="s">
        <v>74</v>
      </c>
      <c r="G13" s="37"/>
      <c r="H13" s="173">
        <f>SUM(H14:H17)</f>
        <v>948.13983000000007</v>
      </c>
      <c r="I13" s="173">
        <f>SUM(I14:I17)</f>
        <v>948.13983000000007</v>
      </c>
      <c r="J13" s="173">
        <f t="shared" ref="I13:J13" si="4">SUM(J14:J17)</f>
        <v>176.68997999999999</v>
      </c>
      <c r="K13" s="174">
        <f t="shared" si="2"/>
        <v>18.635434817668191</v>
      </c>
      <c r="M13" s="78">
        <f t="shared" si="3"/>
        <v>948139.83000000007</v>
      </c>
      <c r="N13" s="78">
        <f t="shared" si="3"/>
        <v>948139.83000000007</v>
      </c>
      <c r="O13" s="78">
        <f t="shared" ref="O13:O66" si="5">J13*1000</f>
        <v>176689.97999999998</v>
      </c>
    </row>
    <row r="14" spans="1:15" ht="12.75" x14ac:dyDescent="0.2">
      <c r="A14" s="34">
        <v>6</v>
      </c>
      <c r="B14" s="242" t="s">
        <v>32</v>
      </c>
      <c r="C14" s="247">
        <v>807</v>
      </c>
      <c r="D14" s="37" t="s">
        <v>25</v>
      </c>
      <c r="E14" s="37" t="s">
        <v>168</v>
      </c>
      <c r="F14" s="37" t="s">
        <v>67</v>
      </c>
      <c r="G14" s="37" t="s">
        <v>37</v>
      </c>
      <c r="H14" s="173">
        <f>722.0736</f>
        <v>722.07360000000006</v>
      </c>
      <c r="I14" s="173">
        <f>722.0736</f>
        <v>722.07360000000006</v>
      </c>
      <c r="J14" s="173">
        <v>140.34559999999999</v>
      </c>
      <c r="K14" s="174">
        <f t="shared" si="2"/>
        <v>19.436467418279797</v>
      </c>
      <c r="M14" s="78">
        <f t="shared" si="3"/>
        <v>722073.60000000009</v>
      </c>
      <c r="N14" s="78">
        <f t="shared" si="3"/>
        <v>722073.60000000009</v>
      </c>
      <c r="O14" s="78">
        <f t="shared" si="5"/>
        <v>140345.59999999998</v>
      </c>
    </row>
    <row r="15" spans="1:15" ht="12.75" x14ac:dyDescent="0.2">
      <c r="A15" s="34">
        <v>7</v>
      </c>
      <c r="B15" s="242" t="s">
        <v>39</v>
      </c>
      <c r="C15" s="38">
        <v>807</v>
      </c>
      <c r="D15" s="37" t="s">
        <v>25</v>
      </c>
      <c r="E15" s="37" t="s">
        <v>168</v>
      </c>
      <c r="F15" s="37" t="s">
        <v>172</v>
      </c>
      <c r="G15" s="37" t="s">
        <v>38</v>
      </c>
      <c r="H15" s="173">
        <f>218.06623</f>
        <v>218.06622999999999</v>
      </c>
      <c r="I15" s="173">
        <f>218.06623</f>
        <v>218.06622999999999</v>
      </c>
      <c r="J15" s="173">
        <v>36.344380000000001</v>
      </c>
      <c r="K15" s="174">
        <f t="shared" si="2"/>
        <v>16.666670488135647</v>
      </c>
      <c r="M15" s="78">
        <f t="shared" si="3"/>
        <v>218066.22999999998</v>
      </c>
      <c r="N15" s="78">
        <f t="shared" si="3"/>
        <v>218066.22999999998</v>
      </c>
      <c r="O15" s="78">
        <f t="shared" si="5"/>
        <v>36344.380000000005</v>
      </c>
    </row>
    <row r="16" spans="1:15" s="194" customFormat="1" ht="12.75" x14ac:dyDescent="0.2">
      <c r="A16" s="34">
        <v>8</v>
      </c>
      <c r="B16" s="242" t="s">
        <v>390</v>
      </c>
      <c r="C16" s="38">
        <v>807</v>
      </c>
      <c r="D16" s="37" t="s">
        <v>25</v>
      </c>
      <c r="E16" s="37" t="s">
        <v>168</v>
      </c>
      <c r="F16" s="37" t="s">
        <v>177</v>
      </c>
      <c r="G16" s="37" t="s">
        <v>392</v>
      </c>
      <c r="H16" s="173">
        <v>3</v>
      </c>
      <c r="I16" s="173">
        <v>3</v>
      </c>
      <c r="J16" s="173">
        <v>0</v>
      </c>
      <c r="K16" s="174">
        <f t="shared" si="2"/>
        <v>0</v>
      </c>
      <c r="M16" s="78"/>
      <c r="N16" s="78"/>
      <c r="O16" s="78"/>
    </row>
    <row r="17" spans="1:15" s="194" customFormat="1" ht="12.75" x14ac:dyDescent="0.2">
      <c r="A17" s="34">
        <v>9</v>
      </c>
      <c r="B17" s="242" t="s">
        <v>391</v>
      </c>
      <c r="C17" s="38">
        <v>807</v>
      </c>
      <c r="D17" s="37" t="s">
        <v>25</v>
      </c>
      <c r="E17" s="37" t="s">
        <v>168</v>
      </c>
      <c r="F17" s="37" t="s">
        <v>177</v>
      </c>
      <c r="G17" s="37" t="s">
        <v>46</v>
      </c>
      <c r="H17" s="173">
        <v>5</v>
      </c>
      <c r="I17" s="173">
        <v>5</v>
      </c>
      <c r="J17" s="173">
        <v>0</v>
      </c>
      <c r="K17" s="174">
        <f t="shared" si="2"/>
        <v>0</v>
      </c>
      <c r="M17" s="78"/>
      <c r="N17" s="78"/>
      <c r="O17" s="78"/>
    </row>
    <row r="18" spans="1:15" ht="38.25" x14ac:dyDescent="0.2">
      <c r="A18" s="34">
        <v>10</v>
      </c>
      <c r="B18" s="44" t="s">
        <v>19</v>
      </c>
      <c r="C18" s="38">
        <v>807</v>
      </c>
      <c r="D18" s="37" t="s">
        <v>26</v>
      </c>
      <c r="E18" s="37"/>
      <c r="F18" s="37"/>
      <c r="G18" s="37"/>
      <c r="H18" s="173">
        <f>H19</f>
        <v>783.44985999999994</v>
      </c>
      <c r="I18" s="173">
        <f t="shared" ref="I18:J19" si="6">I19</f>
        <v>783.44985999999994</v>
      </c>
      <c r="J18" s="173">
        <f t="shared" si="6"/>
        <v>163.63247000000001</v>
      </c>
      <c r="K18" s="174">
        <f t="shared" si="2"/>
        <v>20.886144519829262</v>
      </c>
      <c r="M18" s="78">
        <f t="shared" si="3"/>
        <v>783449.86</v>
      </c>
      <c r="N18" s="78">
        <f t="shared" si="3"/>
        <v>783449.86</v>
      </c>
      <c r="O18" s="78">
        <f t="shared" si="5"/>
        <v>163632.47</v>
      </c>
    </row>
    <row r="19" spans="1:15" ht="12.75" x14ac:dyDescent="0.2">
      <c r="A19" s="34">
        <v>11</v>
      </c>
      <c r="B19" s="242" t="s">
        <v>140</v>
      </c>
      <c r="C19" s="38">
        <v>807</v>
      </c>
      <c r="D19" s="37" t="s">
        <v>26</v>
      </c>
      <c r="E19" s="37" t="s">
        <v>274</v>
      </c>
      <c r="F19" s="37"/>
      <c r="G19" s="37"/>
      <c r="H19" s="173">
        <f>H20</f>
        <v>783.44985999999994</v>
      </c>
      <c r="I19" s="173">
        <f>I20</f>
        <v>783.44985999999994</v>
      </c>
      <c r="J19" s="173">
        <f t="shared" si="6"/>
        <v>163.63247000000001</v>
      </c>
      <c r="K19" s="174">
        <f t="shared" si="2"/>
        <v>20.886144519829262</v>
      </c>
      <c r="M19" s="78">
        <f t="shared" si="3"/>
        <v>783449.86</v>
      </c>
      <c r="N19" s="78">
        <f t="shared" si="3"/>
        <v>783449.86</v>
      </c>
      <c r="O19" s="78">
        <f t="shared" si="5"/>
        <v>163632.47</v>
      </c>
    </row>
    <row r="20" spans="1:15" ht="12.75" x14ac:dyDescent="0.2">
      <c r="A20" s="34">
        <v>12</v>
      </c>
      <c r="B20" s="242" t="s">
        <v>142</v>
      </c>
      <c r="C20" s="38">
        <v>807</v>
      </c>
      <c r="D20" s="37" t="s">
        <v>26</v>
      </c>
      <c r="E20" s="37" t="s">
        <v>274</v>
      </c>
      <c r="F20" s="37" t="s">
        <v>74</v>
      </c>
      <c r="G20" s="37"/>
      <c r="H20" s="173">
        <f>SUM(H21:H22)</f>
        <v>783.44985999999994</v>
      </c>
      <c r="I20" s="173">
        <f>SUM(I21:I22)</f>
        <v>783.44985999999994</v>
      </c>
      <c r="J20" s="173">
        <f>SUM(J21:J22)</f>
        <v>163.63247000000001</v>
      </c>
      <c r="K20" s="174">
        <f t="shared" si="2"/>
        <v>20.886144519829262</v>
      </c>
      <c r="M20" s="78">
        <f t="shared" si="3"/>
        <v>783449.86</v>
      </c>
      <c r="N20" s="78">
        <f t="shared" si="3"/>
        <v>783449.86</v>
      </c>
      <c r="O20" s="78">
        <f t="shared" si="5"/>
        <v>163632.47</v>
      </c>
    </row>
    <row r="21" spans="1:15" ht="12.75" x14ac:dyDescent="0.2">
      <c r="A21" s="34">
        <v>13</v>
      </c>
      <c r="B21" s="242" t="s">
        <v>32</v>
      </c>
      <c r="C21" s="38">
        <v>807</v>
      </c>
      <c r="D21" s="37" t="s">
        <v>26</v>
      </c>
      <c r="E21" s="37" t="s">
        <v>169</v>
      </c>
      <c r="F21" s="37" t="s">
        <v>67</v>
      </c>
      <c r="G21" s="37" t="s">
        <v>37</v>
      </c>
      <c r="H21" s="173">
        <v>601.72799999999995</v>
      </c>
      <c r="I21" s="173">
        <v>601.72799999999995</v>
      </c>
      <c r="J21" s="173">
        <v>130.3168</v>
      </c>
      <c r="K21" s="174">
        <f t="shared" si="2"/>
        <v>21.657094235269096</v>
      </c>
      <c r="M21" s="78">
        <f t="shared" si="3"/>
        <v>601728</v>
      </c>
      <c r="N21" s="78">
        <f t="shared" si="3"/>
        <v>601728</v>
      </c>
      <c r="O21" s="78">
        <f t="shared" si="5"/>
        <v>130316.8</v>
      </c>
    </row>
    <row r="22" spans="1:15" ht="12.75" x14ac:dyDescent="0.2">
      <c r="A22" s="34">
        <v>14</v>
      </c>
      <c r="B22" s="242" t="s">
        <v>39</v>
      </c>
      <c r="C22" s="38">
        <v>807</v>
      </c>
      <c r="D22" s="37" t="s">
        <v>26</v>
      </c>
      <c r="E22" s="37" t="s">
        <v>169</v>
      </c>
      <c r="F22" s="37" t="s">
        <v>172</v>
      </c>
      <c r="G22" s="37" t="s">
        <v>38</v>
      </c>
      <c r="H22" s="173">
        <v>181.72185999999999</v>
      </c>
      <c r="I22" s="173">
        <v>181.72185999999999</v>
      </c>
      <c r="J22" s="173">
        <v>33.315669999999997</v>
      </c>
      <c r="K22" s="174">
        <f t="shared" si="2"/>
        <v>18.333330948736712</v>
      </c>
      <c r="M22" s="78">
        <f t="shared" si="3"/>
        <v>181721.86</v>
      </c>
      <c r="N22" s="78">
        <f t="shared" si="3"/>
        <v>181721.86</v>
      </c>
      <c r="O22" s="78">
        <f>J22*1000</f>
        <v>33315.67</v>
      </c>
    </row>
    <row r="23" spans="1:15" ht="38.25" x14ac:dyDescent="0.2">
      <c r="A23" s="34">
        <v>15</v>
      </c>
      <c r="B23" s="44" t="s">
        <v>20</v>
      </c>
      <c r="C23" s="38">
        <v>807</v>
      </c>
      <c r="D23" s="37" t="s">
        <v>27</v>
      </c>
      <c r="E23" s="37"/>
      <c r="F23" s="37"/>
      <c r="G23" s="37"/>
      <c r="H23" s="173">
        <f>H24</f>
        <v>5208.0864599999995</v>
      </c>
      <c r="I23" s="173">
        <f t="shared" ref="I23:J23" si="7">I24</f>
        <v>5311.3564599999991</v>
      </c>
      <c r="J23" s="173">
        <f t="shared" si="7"/>
        <v>1194.9077499999999</v>
      </c>
      <c r="K23" s="174">
        <f t="shared" si="2"/>
        <v>22.497223807117628</v>
      </c>
      <c r="M23" s="78">
        <f t="shared" si="3"/>
        <v>5208086.46</v>
      </c>
      <c r="N23" s="78">
        <f t="shared" si="3"/>
        <v>5311356.459999999</v>
      </c>
      <c r="O23" s="78">
        <f t="shared" si="5"/>
        <v>1194907.7499999998</v>
      </c>
    </row>
    <row r="24" spans="1:15" ht="12.75" x14ac:dyDescent="0.2">
      <c r="A24" s="34">
        <v>16</v>
      </c>
      <c r="B24" s="242" t="s">
        <v>143</v>
      </c>
      <c r="C24" s="38">
        <v>807</v>
      </c>
      <c r="D24" s="37" t="s">
        <v>27</v>
      </c>
      <c r="E24" s="37" t="s">
        <v>244</v>
      </c>
      <c r="F24" s="37"/>
      <c r="G24" s="37"/>
      <c r="H24" s="173">
        <f>SUM(H25:H43)</f>
        <v>5208.0864599999995</v>
      </c>
      <c r="I24" s="173">
        <f t="shared" ref="I24:J24" si="8">SUM(I25:I43)</f>
        <v>5311.3564599999991</v>
      </c>
      <c r="J24" s="173">
        <f t="shared" si="8"/>
        <v>1194.9077499999999</v>
      </c>
      <c r="K24" s="174">
        <f t="shared" si="2"/>
        <v>22.497223807117628</v>
      </c>
      <c r="M24" s="78">
        <f t="shared" si="3"/>
        <v>5208086.46</v>
      </c>
      <c r="N24" s="78">
        <f t="shared" si="3"/>
        <v>5311356.459999999</v>
      </c>
      <c r="O24" s="78">
        <f t="shared" si="5"/>
        <v>1194907.7499999998</v>
      </c>
    </row>
    <row r="25" spans="1:15" ht="12.75" x14ac:dyDescent="0.2">
      <c r="A25" s="34">
        <v>17</v>
      </c>
      <c r="B25" s="242" t="s">
        <v>32</v>
      </c>
      <c r="C25" s="38">
        <v>807</v>
      </c>
      <c r="D25" s="37" t="s">
        <v>27</v>
      </c>
      <c r="E25" s="37" t="s">
        <v>170</v>
      </c>
      <c r="F25" s="37" t="s">
        <v>67</v>
      </c>
      <c r="G25" s="37" t="s">
        <v>37</v>
      </c>
      <c r="H25" s="173">
        <v>2989.2462300000002</v>
      </c>
      <c r="I25" s="173">
        <v>2982.8906699999998</v>
      </c>
      <c r="J25" s="173">
        <v>485.49605000000003</v>
      </c>
      <c r="K25" s="174">
        <f t="shared" si="2"/>
        <v>16.276025631204245</v>
      </c>
      <c r="M25" s="78">
        <f t="shared" si="3"/>
        <v>2989246.23</v>
      </c>
      <c r="N25" s="78">
        <f t="shared" si="3"/>
        <v>2982890.67</v>
      </c>
      <c r="O25" s="78">
        <f t="shared" si="5"/>
        <v>485496.05000000005</v>
      </c>
    </row>
    <row r="26" spans="1:15" ht="12.75" x14ac:dyDescent="0.2">
      <c r="A26" s="34">
        <v>18</v>
      </c>
      <c r="B26" s="242" t="s">
        <v>39</v>
      </c>
      <c r="C26" s="38">
        <v>807</v>
      </c>
      <c r="D26" s="37" t="s">
        <v>27</v>
      </c>
      <c r="E26" s="37" t="s">
        <v>170</v>
      </c>
      <c r="F26" s="37" t="s">
        <v>172</v>
      </c>
      <c r="G26" s="37" t="s">
        <v>38</v>
      </c>
      <c r="H26" s="173">
        <v>902.75235999999995</v>
      </c>
      <c r="I26" s="173">
        <v>902.75235999999995</v>
      </c>
      <c r="J26" s="173">
        <v>126.38442999999999</v>
      </c>
      <c r="K26" s="174">
        <f t="shared" si="2"/>
        <v>13.999900260576444</v>
      </c>
      <c r="M26" s="78">
        <f t="shared" si="3"/>
        <v>902752.36</v>
      </c>
      <c r="N26" s="78">
        <f t="shared" si="3"/>
        <v>902752.36</v>
      </c>
      <c r="O26" s="78">
        <f t="shared" si="5"/>
        <v>126384.43</v>
      </c>
    </row>
    <row r="27" spans="1:15" ht="12.75" x14ac:dyDescent="0.2">
      <c r="A27" s="34">
        <v>19</v>
      </c>
      <c r="B27" s="242" t="s">
        <v>32</v>
      </c>
      <c r="C27" s="38">
        <v>807</v>
      </c>
      <c r="D27" s="37" t="s">
        <v>27</v>
      </c>
      <c r="E27" s="37" t="s">
        <v>388</v>
      </c>
      <c r="F27" s="37" t="s">
        <v>67</v>
      </c>
      <c r="G27" s="37" t="s">
        <v>37</v>
      </c>
      <c r="H27" s="173">
        <v>0</v>
      </c>
      <c r="I27" s="173">
        <v>15.798999999999999</v>
      </c>
      <c r="J27" s="173">
        <v>3.512</v>
      </c>
      <c r="K27" s="174">
        <f t="shared" si="2"/>
        <v>22.229255016140261</v>
      </c>
      <c r="M27" s="78">
        <f t="shared" si="3"/>
        <v>0</v>
      </c>
      <c r="N27" s="78">
        <f t="shared" si="3"/>
        <v>15799</v>
      </c>
      <c r="O27" s="78">
        <f t="shared" si="5"/>
        <v>3512</v>
      </c>
    </row>
    <row r="28" spans="1:15" ht="12.75" x14ac:dyDescent="0.2">
      <c r="A28" s="34">
        <v>20</v>
      </c>
      <c r="B28" s="242" t="s">
        <v>39</v>
      </c>
      <c r="C28" s="38">
        <v>807</v>
      </c>
      <c r="D28" s="37" t="s">
        <v>27</v>
      </c>
      <c r="E28" s="37" t="s">
        <v>388</v>
      </c>
      <c r="F28" s="37" t="s">
        <v>172</v>
      </c>
      <c r="G28" s="37" t="s">
        <v>38</v>
      </c>
      <c r="H28" s="173">
        <v>0</v>
      </c>
      <c r="I28" s="173">
        <v>4.7709999999999999</v>
      </c>
      <c r="J28" s="173">
        <v>1.0620000000000001</v>
      </c>
      <c r="K28" s="174">
        <f t="shared" si="2"/>
        <v>22.259484384824983</v>
      </c>
      <c r="M28" s="78">
        <f t="shared" si="3"/>
        <v>0</v>
      </c>
      <c r="N28" s="78">
        <f t="shared" si="3"/>
        <v>4771</v>
      </c>
      <c r="O28" s="78">
        <f t="shared" si="5"/>
        <v>1062</v>
      </c>
    </row>
    <row r="29" spans="1:15" ht="12.75" x14ac:dyDescent="0.2">
      <c r="A29" s="34">
        <v>21</v>
      </c>
      <c r="B29" s="242" t="s">
        <v>275</v>
      </c>
      <c r="C29" s="38">
        <v>807</v>
      </c>
      <c r="D29" s="37" t="s">
        <v>27</v>
      </c>
      <c r="E29" s="37" t="s">
        <v>170</v>
      </c>
      <c r="F29" s="37" t="s">
        <v>67</v>
      </c>
      <c r="G29" s="37" t="s">
        <v>276</v>
      </c>
      <c r="H29" s="173">
        <v>0</v>
      </c>
      <c r="I29" s="173">
        <v>6.3555599999999997</v>
      </c>
      <c r="J29" s="173">
        <v>6.3555599999999997</v>
      </c>
      <c r="K29" s="174">
        <f t="shared" si="2"/>
        <v>100</v>
      </c>
      <c r="M29" s="78">
        <f t="shared" si="3"/>
        <v>0</v>
      </c>
      <c r="N29" s="78">
        <f t="shared" si="3"/>
        <v>6355.5599999999995</v>
      </c>
      <c r="O29" s="78">
        <f t="shared" si="5"/>
        <v>6355.5599999999995</v>
      </c>
    </row>
    <row r="30" spans="1:15" ht="12.75" x14ac:dyDescent="0.2">
      <c r="A30" s="34">
        <v>22</v>
      </c>
      <c r="B30" s="242" t="s">
        <v>47</v>
      </c>
      <c r="C30" s="38">
        <v>807</v>
      </c>
      <c r="D30" s="37" t="s">
        <v>27</v>
      </c>
      <c r="E30" s="37" t="s">
        <v>170</v>
      </c>
      <c r="F30" s="37" t="s">
        <v>177</v>
      </c>
      <c r="G30" s="37" t="s">
        <v>48</v>
      </c>
      <c r="H30" s="173">
        <v>0</v>
      </c>
      <c r="I30" s="173">
        <v>0</v>
      </c>
      <c r="J30" s="173">
        <v>0</v>
      </c>
      <c r="K30" s="174">
        <v>0</v>
      </c>
      <c r="M30" s="78">
        <f t="shared" si="3"/>
        <v>0</v>
      </c>
      <c r="N30" s="78">
        <f t="shared" si="3"/>
        <v>0</v>
      </c>
      <c r="O30" s="78">
        <f t="shared" ref="O30" si="9">J30*1000</f>
        <v>0</v>
      </c>
    </row>
    <row r="31" spans="1:15" ht="12.75" x14ac:dyDescent="0.2">
      <c r="A31" s="34">
        <v>23</v>
      </c>
      <c r="B31" s="242" t="s">
        <v>33</v>
      </c>
      <c r="C31" s="38">
        <v>807</v>
      </c>
      <c r="D31" s="37" t="s">
        <v>27</v>
      </c>
      <c r="E31" s="37" t="s">
        <v>170</v>
      </c>
      <c r="F31" s="37" t="s">
        <v>68</v>
      </c>
      <c r="G31" s="37" t="s">
        <v>41</v>
      </c>
      <c r="H31" s="173">
        <v>51.02</v>
      </c>
      <c r="I31" s="173">
        <v>52.72</v>
      </c>
      <c r="J31" s="173">
        <v>15.2356</v>
      </c>
      <c r="K31" s="174">
        <f t="shared" si="2"/>
        <v>28.899089529590288</v>
      </c>
      <c r="M31" s="78">
        <f t="shared" si="3"/>
        <v>51020</v>
      </c>
      <c r="N31" s="78">
        <f t="shared" si="3"/>
        <v>52720</v>
      </c>
      <c r="O31" s="78">
        <f t="shared" si="5"/>
        <v>15235.6</v>
      </c>
    </row>
    <row r="32" spans="1:15" ht="12.75" x14ac:dyDescent="0.2">
      <c r="A32" s="34">
        <v>24</v>
      </c>
      <c r="B32" s="242" t="s">
        <v>34</v>
      </c>
      <c r="C32" s="38">
        <v>807</v>
      </c>
      <c r="D32" s="37" t="s">
        <v>27</v>
      </c>
      <c r="E32" s="37" t="s">
        <v>170</v>
      </c>
      <c r="F32" s="37" t="s">
        <v>68</v>
      </c>
      <c r="G32" s="37" t="s">
        <v>42</v>
      </c>
      <c r="H32" s="173">
        <v>31.776620000000001</v>
      </c>
      <c r="I32" s="173">
        <v>31.776620000000001</v>
      </c>
      <c r="J32" s="173">
        <v>3.61402</v>
      </c>
      <c r="K32" s="174">
        <f t="shared" si="2"/>
        <v>11.373204576194698</v>
      </c>
      <c r="M32" s="78">
        <f t="shared" si="3"/>
        <v>31776.620000000003</v>
      </c>
      <c r="N32" s="78">
        <f t="shared" si="3"/>
        <v>31776.620000000003</v>
      </c>
      <c r="O32" s="78">
        <f t="shared" si="5"/>
        <v>3614.02</v>
      </c>
    </row>
    <row r="33" spans="1:15" s="197" customFormat="1" ht="12.75" x14ac:dyDescent="0.2">
      <c r="A33" s="34">
        <v>25</v>
      </c>
      <c r="B33" s="242" t="s">
        <v>34</v>
      </c>
      <c r="C33" s="38">
        <v>807</v>
      </c>
      <c r="D33" s="37" t="s">
        <v>27</v>
      </c>
      <c r="E33" s="37" t="s">
        <v>170</v>
      </c>
      <c r="F33" s="37" t="s">
        <v>393</v>
      </c>
      <c r="G33" s="37" t="s">
        <v>42</v>
      </c>
      <c r="H33" s="173">
        <v>900</v>
      </c>
      <c r="I33" s="173">
        <v>900</v>
      </c>
      <c r="J33" s="173">
        <v>376.23406999999997</v>
      </c>
      <c r="K33" s="174">
        <f t="shared" si="2"/>
        <v>41.80378555555555</v>
      </c>
      <c r="M33" s="78">
        <f t="shared" si="3"/>
        <v>900000</v>
      </c>
      <c r="N33" s="78">
        <f t="shared" si="3"/>
        <v>900000</v>
      </c>
      <c r="O33" s="78"/>
    </row>
    <row r="34" spans="1:15" ht="12.75" x14ac:dyDescent="0.2">
      <c r="A34" s="34">
        <v>26</v>
      </c>
      <c r="B34" s="242" t="s">
        <v>43</v>
      </c>
      <c r="C34" s="38">
        <v>807</v>
      </c>
      <c r="D34" s="37" t="s">
        <v>27</v>
      </c>
      <c r="E34" s="37" t="s">
        <v>170</v>
      </c>
      <c r="F34" s="37" t="s">
        <v>68</v>
      </c>
      <c r="G34" s="37" t="s">
        <v>44</v>
      </c>
      <c r="H34" s="173">
        <v>35.5</v>
      </c>
      <c r="I34" s="173">
        <v>35.5</v>
      </c>
      <c r="J34" s="173">
        <v>0</v>
      </c>
      <c r="K34" s="174">
        <f t="shared" si="2"/>
        <v>0</v>
      </c>
      <c r="M34" s="78">
        <f t="shared" si="3"/>
        <v>35500</v>
      </c>
      <c r="N34" s="78">
        <f t="shared" si="3"/>
        <v>35500</v>
      </c>
      <c r="O34" s="78">
        <f t="shared" si="5"/>
        <v>0</v>
      </c>
    </row>
    <row r="35" spans="1:15" ht="12.75" x14ac:dyDescent="0.2">
      <c r="A35" s="34">
        <v>27</v>
      </c>
      <c r="B35" s="242" t="s">
        <v>45</v>
      </c>
      <c r="C35" s="38">
        <v>807</v>
      </c>
      <c r="D35" s="37" t="s">
        <v>27</v>
      </c>
      <c r="E35" s="37" t="s">
        <v>170</v>
      </c>
      <c r="F35" s="37" t="s">
        <v>68</v>
      </c>
      <c r="G35" s="37" t="s">
        <v>46</v>
      </c>
      <c r="H35" s="173">
        <v>17.7</v>
      </c>
      <c r="I35" s="173">
        <v>17.7</v>
      </c>
      <c r="J35" s="173">
        <v>4.2</v>
      </c>
      <c r="K35" s="174">
        <f t="shared" si="2"/>
        <v>23.728813559322035</v>
      </c>
      <c r="M35" s="78">
        <f t="shared" si="3"/>
        <v>17700</v>
      </c>
      <c r="N35" s="78">
        <f t="shared" si="3"/>
        <v>17700</v>
      </c>
      <c r="O35" s="78">
        <f t="shared" si="5"/>
        <v>4200</v>
      </c>
    </row>
    <row r="36" spans="1:15" ht="12.75" x14ac:dyDescent="0.2">
      <c r="A36" s="34">
        <v>28</v>
      </c>
      <c r="B36" s="242" t="s">
        <v>209</v>
      </c>
      <c r="C36" s="38">
        <v>807</v>
      </c>
      <c r="D36" s="37" t="s">
        <v>27</v>
      </c>
      <c r="E36" s="37" t="s">
        <v>170</v>
      </c>
      <c r="F36" s="37" t="s">
        <v>68</v>
      </c>
      <c r="G36" s="37" t="s">
        <v>208</v>
      </c>
      <c r="H36" s="173">
        <v>6.2</v>
      </c>
      <c r="I36" s="173">
        <v>7.2</v>
      </c>
      <c r="J36" s="173">
        <v>1.6075200000000001</v>
      </c>
      <c r="K36" s="174">
        <f t="shared" si="2"/>
        <v>22.326666666666668</v>
      </c>
      <c r="M36" s="78">
        <f t="shared" si="3"/>
        <v>6200</v>
      </c>
      <c r="N36" s="78">
        <f t="shared" si="3"/>
        <v>7200</v>
      </c>
      <c r="O36" s="78">
        <f t="shared" si="5"/>
        <v>1607.52</v>
      </c>
    </row>
    <row r="37" spans="1:15" ht="12.75" x14ac:dyDescent="0.2">
      <c r="A37" s="34">
        <v>29</v>
      </c>
      <c r="B37" s="242" t="s">
        <v>424</v>
      </c>
      <c r="C37" s="38">
        <v>807</v>
      </c>
      <c r="D37" s="37" t="s">
        <v>27</v>
      </c>
      <c r="E37" s="37" t="s">
        <v>170</v>
      </c>
      <c r="F37" s="37" t="s">
        <v>423</v>
      </c>
      <c r="G37" s="37" t="s">
        <v>425</v>
      </c>
      <c r="H37" s="173">
        <v>0</v>
      </c>
      <c r="I37" s="173">
        <v>0</v>
      </c>
      <c r="J37" s="173">
        <v>-2</v>
      </c>
      <c r="K37" s="174">
        <v>0</v>
      </c>
      <c r="M37" s="78">
        <f t="shared" si="3"/>
        <v>0</v>
      </c>
      <c r="N37" s="78">
        <f t="shared" si="3"/>
        <v>0</v>
      </c>
      <c r="O37" s="78">
        <f t="shared" si="5"/>
        <v>-2000</v>
      </c>
    </row>
    <row r="38" spans="1:15" s="249" customFormat="1" ht="12.75" x14ac:dyDescent="0.2">
      <c r="A38" s="34">
        <v>30</v>
      </c>
      <c r="B38" s="242" t="s">
        <v>235</v>
      </c>
      <c r="C38" s="38">
        <v>807</v>
      </c>
      <c r="D38" s="37" t="s">
        <v>27</v>
      </c>
      <c r="E38" s="37" t="s">
        <v>170</v>
      </c>
      <c r="F38" s="37" t="s">
        <v>173</v>
      </c>
      <c r="G38" s="37" t="s">
        <v>425</v>
      </c>
      <c r="H38" s="173">
        <v>0</v>
      </c>
      <c r="I38" s="173">
        <v>0</v>
      </c>
      <c r="J38" s="173">
        <v>0</v>
      </c>
      <c r="K38" s="174">
        <v>0</v>
      </c>
      <c r="M38" s="78"/>
      <c r="N38" s="78">
        <f t="shared" si="3"/>
        <v>0</v>
      </c>
      <c r="O38" s="78"/>
    </row>
    <row r="39" spans="1:15" ht="12.75" x14ac:dyDescent="0.2">
      <c r="A39" s="34">
        <v>31</v>
      </c>
      <c r="B39" s="242" t="s">
        <v>426</v>
      </c>
      <c r="C39" s="38">
        <v>807</v>
      </c>
      <c r="D39" s="37" t="s">
        <v>27</v>
      </c>
      <c r="E39" s="37" t="s">
        <v>170</v>
      </c>
      <c r="F39" s="37" t="s">
        <v>173</v>
      </c>
      <c r="G39" s="37" t="s">
        <v>427</v>
      </c>
      <c r="H39" s="173">
        <v>0</v>
      </c>
      <c r="I39" s="173">
        <v>0</v>
      </c>
      <c r="J39" s="173">
        <v>0</v>
      </c>
      <c r="K39" s="174">
        <v>0</v>
      </c>
      <c r="M39" s="78">
        <f t="shared" si="3"/>
        <v>0</v>
      </c>
      <c r="N39" s="78">
        <f t="shared" si="3"/>
        <v>0</v>
      </c>
      <c r="O39" s="78">
        <f t="shared" si="5"/>
        <v>0</v>
      </c>
    </row>
    <row r="40" spans="1:15" s="197" customFormat="1" ht="12.75" x14ac:dyDescent="0.2">
      <c r="A40" s="34">
        <v>32</v>
      </c>
      <c r="B40" s="242" t="s">
        <v>428</v>
      </c>
      <c r="C40" s="38">
        <v>807</v>
      </c>
      <c r="D40" s="37" t="s">
        <v>27</v>
      </c>
      <c r="E40" s="37" t="s">
        <v>170</v>
      </c>
      <c r="F40" s="37" t="s">
        <v>173</v>
      </c>
      <c r="G40" s="37" t="s">
        <v>394</v>
      </c>
      <c r="H40" s="173">
        <v>2.9420000000000002</v>
      </c>
      <c r="I40" s="173">
        <v>2.9420000000000002</v>
      </c>
      <c r="J40" s="173">
        <v>2.4990000000000001</v>
      </c>
      <c r="K40" s="174">
        <f t="shared" si="2"/>
        <v>84.942216179469739</v>
      </c>
      <c r="M40" s="78">
        <f t="shared" si="3"/>
        <v>2942</v>
      </c>
      <c r="N40" s="78">
        <f t="shared" si="3"/>
        <v>2942</v>
      </c>
      <c r="O40" s="78"/>
    </row>
    <row r="41" spans="1:15" ht="12.75" x14ac:dyDescent="0.2">
      <c r="A41" s="34">
        <v>33</v>
      </c>
      <c r="B41" s="242" t="s">
        <v>35</v>
      </c>
      <c r="C41" s="38">
        <v>807</v>
      </c>
      <c r="D41" s="37" t="s">
        <v>27</v>
      </c>
      <c r="E41" s="37" t="s">
        <v>170</v>
      </c>
      <c r="F41" s="37" t="s">
        <v>68</v>
      </c>
      <c r="G41" s="37" t="s">
        <v>49</v>
      </c>
      <c r="H41" s="173">
        <v>0</v>
      </c>
      <c r="I41" s="173">
        <v>29.998999999999999</v>
      </c>
      <c r="J41" s="173">
        <v>29.998999999999999</v>
      </c>
      <c r="K41" s="174">
        <f t="shared" si="2"/>
        <v>100</v>
      </c>
      <c r="M41" s="78">
        <f t="shared" si="3"/>
        <v>0</v>
      </c>
      <c r="N41" s="78">
        <f t="shared" si="3"/>
        <v>29999</v>
      </c>
      <c r="O41" s="78">
        <f t="shared" si="5"/>
        <v>29999</v>
      </c>
    </row>
    <row r="42" spans="1:15" ht="12.75" x14ac:dyDescent="0.2">
      <c r="A42" s="34">
        <v>34</v>
      </c>
      <c r="B42" s="242" t="s">
        <v>52</v>
      </c>
      <c r="C42" s="38">
        <v>807</v>
      </c>
      <c r="D42" s="37" t="s">
        <v>27</v>
      </c>
      <c r="E42" s="37" t="s">
        <v>170</v>
      </c>
      <c r="F42" s="37" t="s">
        <v>68</v>
      </c>
      <c r="G42" s="37" t="s">
        <v>40</v>
      </c>
      <c r="H42" s="173">
        <v>180.21225000000001</v>
      </c>
      <c r="I42" s="173">
        <v>230.21324999999999</v>
      </c>
      <c r="J42" s="173">
        <v>95.34</v>
      </c>
      <c r="K42" s="174">
        <f t="shared" si="2"/>
        <v>41.413776140165695</v>
      </c>
      <c r="M42" s="78">
        <f t="shared" si="3"/>
        <v>180212.25</v>
      </c>
      <c r="N42" s="78">
        <f t="shared" si="3"/>
        <v>230213.25</v>
      </c>
      <c r="O42" s="78">
        <f t="shared" si="5"/>
        <v>95340</v>
      </c>
    </row>
    <row r="43" spans="1:15" ht="12.75" x14ac:dyDescent="0.2">
      <c r="A43" s="34">
        <v>35</v>
      </c>
      <c r="B43" s="242" t="s">
        <v>79</v>
      </c>
      <c r="C43" s="38">
        <v>807</v>
      </c>
      <c r="D43" s="37" t="s">
        <v>27</v>
      </c>
      <c r="E43" s="37" t="s">
        <v>171</v>
      </c>
      <c r="F43" s="37" t="s">
        <v>80</v>
      </c>
      <c r="G43" s="37" t="s">
        <v>81</v>
      </c>
      <c r="H43" s="173">
        <v>90.736999999999995</v>
      </c>
      <c r="I43" s="173">
        <v>90.736999999999995</v>
      </c>
      <c r="J43" s="173">
        <v>45.368499999999997</v>
      </c>
      <c r="K43" s="174">
        <f t="shared" si="2"/>
        <v>50</v>
      </c>
      <c r="M43" s="78">
        <f t="shared" si="3"/>
        <v>90737</v>
      </c>
      <c r="N43" s="78">
        <f t="shared" si="3"/>
        <v>90737</v>
      </c>
      <c r="O43" s="78">
        <f t="shared" si="5"/>
        <v>45368.5</v>
      </c>
    </row>
    <row r="44" spans="1:15" ht="12.75" x14ac:dyDescent="0.2">
      <c r="A44" s="34">
        <v>36</v>
      </c>
      <c r="B44" s="175" t="s">
        <v>218</v>
      </c>
      <c r="C44" s="162">
        <v>807</v>
      </c>
      <c r="D44" s="164" t="s">
        <v>219</v>
      </c>
      <c r="E44" s="162" t="s">
        <v>155</v>
      </c>
      <c r="F44" s="162" t="s">
        <v>155</v>
      </c>
      <c r="G44" s="37"/>
      <c r="H44" s="173">
        <f>H45</f>
        <v>10</v>
      </c>
      <c r="I44" s="173">
        <f t="shared" ref="I44:J45" si="10">I45</f>
        <v>10</v>
      </c>
      <c r="J44" s="173">
        <f t="shared" si="10"/>
        <v>0</v>
      </c>
      <c r="K44" s="174">
        <f t="shared" si="2"/>
        <v>0</v>
      </c>
      <c r="M44" s="78">
        <f t="shared" si="3"/>
        <v>10000</v>
      </c>
      <c r="N44" s="78">
        <f t="shared" si="3"/>
        <v>10000</v>
      </c>
      <c r="O44" s="78">
        <f t="shared" si="5"/>
        <v>0</v>
      </c>
    </row>
    <row r="45" spans="1:15" ht="12.75" x14ac:dyDescent="0.2">
      <c r="A45" s="34">
        <v>37</v>
      </c>
      <c r="B45" s="66" t="s">
        <v>143</v>
      </c>
      <c r="C45" s="162">
        <v>807</v>
      </c>
      <c r="D45" s="164" t="s">
        <v>219</v>
      </c>
      <c r="E45" s="162">
        <v>6400000000</v>
      </c>
      <c r="F45" s="162" t="s">
        <v>155</v>
      </c>
      <c r="G45" s="37"/>
      <c r="H45" s="173">
        <f>H46</f>
        <v>10</v>
      </c>
      <c r="I45" s="173">
        <f t="shared" si="10"/>
        <v>10</v>
      </c>
      <c r="J45" s="173">
        <f t="shared" si="10"/>
        <v>0</v>
      </c>
      <c r="K45" s="174">
        <f t="shared" si="2"/>
        <v>0</v>
      </c>
      <c r="M45" s="78">
        <f t="shared" si="3"/>
        <v>10000</v>
      </c>
      <c r="N45" s="78">
        <f t="shared" si="3"/>
        <v>10000</v>
      </c>
      <c r="O45" s="78">
        <f t="shared" si="5"/>
        <v>0</v>
      </c>
    </row>
    <row r="46" spans="1:15" ht="25.5" x14ac:dyDescent="0.2">
      <c r="A46" s="34">
        <v>38</v>
      </c>
      <c r="B46" s="161" t="s">
        <v>220</v>
      </c>
      <c r="C46" s="162">
        <v>807</v>
      </c>
      <c r="D46" s="164" t="s">
        <v>219</v>
      </c>
      <c r="E46" s="162">
        <v>6400080000</v>
      </c>
      <c r="F46" s="162" t="s">
        <v>155</v>
      </c>
      <c r="G46" s="37"/>
      <c r="H46" s="70">
        <f>H47</f>
        <v>10</v>
      </c>
      <c r="I46" s="27">
        <f>I47</f>
        <v>10</v>
      </c>
      <c r="J46" s="27">
        <f>J47</f>
        <v>0</v>
      </c>
      <c r="K46" s="174">
        <f t="shared" si="2"/>
        <v>0</v>
      </c>
      <c r="M46" s="78">
        <f t="shared" si="3"/>
        <v>10000</v>
      </c>
      <c r="N46" s="78">
        <f t="shared" si="3"/>
        <v>10000</v>
      </c>
      <c r="O46" s="78">
        <f t="shared" si="5"/>
        <v>0</v>
      </c>
    </row>
    <row r="47" spans="1:15" ht="25.5" x14ac:dyDescent="0.2">
      <c r="A47" s="34">
        <v>39</v>
      </c>
      <c r="B47" s="161" t="s">
        <v>221</v>
      </c>
      <c r="C47" s="162">
        <v>807</v>
      </c>
      <c r="D47" s="164" t="s">
        <v>219</v>
      </c>
      <c r="E47" s="162">
        <v>6400080210</v>
      </c>
      <c r="F47" s="162" t="s">
        <v>155</v>
      </c>
      <c r="G47" s="37"/>
      <c r="H47" s="173">
        <f>SUM(H48)</f>
        <v>10</v>
      </c>
      <c r="I47" s="163">
        <f>SUM(I48)</f>
        <v>10</v>
      </c>
      <c r="J47" s="163">
        <f>SUM(J48:J49)</f>
        <v>0</v>
      </c>
      <c r="K47" s="174">
        <f t="shared" si="2"/>
        <v>0</v>
      </c>
      <c r="M47" s="78">
        <f t="shared" si="3"/>
        <v>10000</v>
      </c>
      <c r="N47" s="78">
        <f t="shared" si="3"/>
        <v>10000</v>
      </c>
      <c r="O47" s="78">
        <f t="shared" si="5"/>
        <v>0</v>
      </c>
    </row>
    <row r="48" spans="1:15" ht="12.75" x14ac:dyDescent="0.2">
      <c r="A48" s="34">
        <v>40</v>
      </c>
      <c r="B48" s="161" t="s">
        <v>222</v>
      </c>
      <c r="C48" s="162">
        <v>807</v>
      </c>
      <c r="D48" s="164" t="s">
        <v>219</v>
      </c>
      <c r="E48" s="162">
        <v>6400080210</v>
      </c>
      <c r="F48" s="162">
        <v>800</v>
      </c>
      <c r="G48" s="37"/>
      <c r="H48" s="173">
        <f>H49</f>
        <v>10</v>
      </c>
      <c r="I48" s="173">
        <f t="shared" ref="I48:J48" si="11">I49</f>
        <v>10</v>
      </c>
      <c r="J48" s="163">
        <f t="shared" si="11"/>
        <v>0</v>
      </c>
      <c r="K48" s="174">
        <f t="shared" si="2"/>
        <v>0</v>
      </c>
      <c r="M48" s="78">
        <f t="shared" si="3"/>
        <v>10000</v>
      </c>
      <c r="N48" s="78">
        <f t="shared" si="3"/>
        <v>10000</v>
      </c>
      <c r="O48" s="78">
        <f t="shared" si="5"/>
        <v>0</v>
      </c>
    </row>
    <row r="49" spans="1:16" ht="12.75" x14ac:dyDescent="0.2">
      <c r="A49" s="34">
        <v>41</v>
      </c>
      <c r="B49" s="161" t="s">
        <v>223</v>
      </c>
      <c r="C49" s="162">
        <v>807</v>
      </c>
      <c r="D49" s="164" t="s">
        <v>219</v>
      </c>
      <c r="E49" s="162">
        <v>6400080210</v>
      </c>
      <c r="F49" s="162">
        <v>870</v>
      </c>
      <c r="G49" s="37" t="s">
        <v>210</v>
      </c>
      <c r="H49" s="173">
        <v>10</v>
      </c>
      <c r="I49" s="173">
        <v>10</v>
      </c>
      <c r="J49" s="163">
        <v>0</v>
      </c>
      <c r="K49" s="174">
        <f t="shared" si="2"/>
        <v>0</v>
      </c>
      <c r="M49" s="78">
        <f t="shared" si="3"/>
        <v>10000</v>
      </c>
      <c r="N49" s="78">
        <f t="shared" si="3"/>
        <v>10000</v>
      </c>
      <c r="O49" s="78">
        <f t="shared" si="5"/>
        <v>0</v>
      </c>
    </row>
    <row r="50" spans="1:16" ht="12.75" x14ac:dyDescent="0.2">
      <c r="A50" s="34">
        <v>42</v>
      </c>
      <c r="B50" s="45" t="s">
        <v>144</v>
      </c>
      <c r="C50" s="41">
        <v>807</v>
      </c>
      <c r="D50" s="40" t="s">
        <v>57</v>
      </c>
      <c r="E50" s="40"/>
      <c r="F50" s="40"/>
      <c r="G50" s="243"/>
      <c r="H50" s="70">
        <f>H51</f>
        <v>1628.6678499999998</v>
      </c>
      <c r="I50" s="70">
        <f t="shared" ref="I50:J50" si="12">I51</f>
        <v>1632.9928500000001</v>
      </c>
      <c r="J50" s="70">
        <f t="shared" si="12"/>
        <v>320.31914</v>
      </c>
      <c r="K50" s="174">
        <f t="shared" si="2"/>
        <v>19.615464942176565</v>
      </c>
      <c r="M50" s="78">
        <f t="shared" si="3"/>
        <v>1628667.8499999999</v>
      </c>
      <c r="N50" s="78">
        <f t="shared" si="3"/>
        <v>1632992.85</v>
      </c>
      <c r="O50" s="78">
        <f t="shared" si="5"/>
        <v>320319.14</v>
      </c>
      <c r="P50" s="78"/>
    </row>
    <row r="51" spans="1:16" ht="12.75" x14ac:dyDescent="0.2">
      <c r="A51" s="34">
        <v>43</v>
      </c>
      <c r="B51" s="161" t="s">
        <v>143</v>
      </c>
      <c r="C51" s="35">
        <v>807</v>
      </c>
      <c r="D51" s="39" t="s">
        <v>57</v>
      </c>
      <c r="E51" s="39" t="s">
        <v>214</v>
      </c>
      <c r="F51" s="40"/>
      <c r="G51" s="243"/>
      <c r="H51" s="70">
        <f>H52</f>
        <v>1628.6678499999998</v>
      </c>
      <c r="I51" s="70">
        <f t="shared" ref="H50:I51" si="13">I52</f>
        <v>1632.9928500000001</v>
      </c>
      <c r="J51" s="70">
        <f>J52</f>
        <v>320.31914</v>
      </c>
      <c r="K51" s="174">
        <f t="shared" si="2"/>
        <v>19.615464942176565</v>
      </c>
      <c r="M51" s="78">
        <f t="shared" si="3"/>
        <v>1628667.8499999999</v>
      </c>
      <c r="N51" s="78">
        <f t="shared" si="3"/>
        <v>1632992.85</v>
      </c>
      <c r="O51" s="78">
        <f t="shared" si="5"/>
        <v>320319.14</v>
      </c>
    </row>
    <row r="52" spans="1:16" ht="14.25" customHeight="1" x14ac:dyDescent="0.2">
      <c r="A52" s="34">
        <v>44</v>
      </c>
      <c r="B52" s="161" t="s">
        <v>224</v>
      </c>
      <c r="C52" s="38">
        <v>807</v>
      </c>
      <c r="D52" s="37" t="s">
        <v>57</v>
      </c>
      <c r="E52" s="37" t="s">
        <v>214</v>
      </c>
      <c r="F52" s="37" t="s">
        <v>106</v>
      </c>
      <c r="G52" s="37"/>
      <c r="H52" s="173">
        <f>SUM(H53:H63)</f>
        <v>1628.6678499999998</v>
      </c>
      <c r="I52" s="173">
        <f t="shared" ref="I52:J52" si="14">SUM(I53:I63)</f>
        <v>1632.9928500000001</v>
      </c>
      <c r="J52" s="173">
        <f t="shared" si="14"/>
        <v>320.31914</v>
      </c>
      <c r="K52" s="174">
        <f t="shared" si="2"/>
        <v>19.615464942176565</v>
      </c>
      <c r="M52" s="78">
        <f t="shared" si="3"/>
        <v>1628667.8499999999</v>
      </c>
      <c r="N52" s="78">
        <f t="shared" si="3"/>
        <v>1632992.85</v>
      </c>
      <c r="O52" s="78">
        <f t="shared" si="5"/>
        <v>320319.14</v>
      </c>
    </row>
    <row r="53" spans="1:16" ht="12.75" x14ac:dyDescent="0.2">
      <c r="A53" s="34">
        <v>45</v>
      </c>
      <c r="B53" s="242" t="s">
        <v>32</v>
      </c>
      <c r="C53" s="38">
        <v>807</v>
      </c>
      <c r="D53" s="37" t="s">
        <v>57</v>
      </c>
      <c r="E53" s="37" t="s">
        <v>225</v>
      </c>
      <c r="F53" s="37" t="s">
        <v>67</v>
      </c>
      <c r="G53" s="37" t="s">
        <v>37</v>
      </c>
      <c r="H53" s="173">
        <v>1074.3047999999999</v>
      </c>
      <c r="I53" s="173">
        <v>1072.66011</v>
      </c>
      <c r="J53" s="173">
        <v>228.13473999999999</v>
      </c>
      <c r="K53" s="174">
        <f t="shared" si="2"/>
        <v>21.268129379771565</v>
      </c>
      <c r="M53" s="78">
        <f t="shared" si="3"/>
        <v>1074304.7999999998</v>
      </c>
      <c r="N53" s="78">
        <f t="shared" si="3"/>
        <v>1072660.1100000001</v>
      </c>
      <c r="O53" s="78">
        <f t="shared" si="5"/>
        <v>228134.74</v>
      </c>
    </row>
    <row r="54" spans="1:16" ht="12.75" x14ac:dyDescent="0.2">
      <c r="A54" s="34">
        <v>46</v>
      </c>
      <c r="B54" s="242" t="s">
        <v>39</v>
      </c>
      <c r="C54" s="38">
        <v>807</v>
      </c>
      <c r="D54" s="37" t="s">
        <v>57</v>
      </c>
      <c r="E54" s="37" t="s">
        <v>225</v>
      </c>
      <c r="F54" s="37" t="s">
        <v>172</v>
      </c>
      <c r="G54" s="37" t="s">
        <v>38</v>
      </c>
      <c r="H54" s="173">
        <v>324.44004999999999</v>
      </c>
      <c r="I54" s="173">
        <v>324.44004999999999</v>
      </c>
      <c r="J54" s="173">
        <v>57.722709999999999</v>
      </c>
      <c r="K54" s="174">
        <f t="shared" si="2"/>
        <v>17.791487210040806</v>
      </c>
      <c r="M54" s="78">
        <f t="shared" si="3"/>
        <v>324440.05</v>
      </c>
      <c r="N54" s="78">
        <f t="shared" si="3"/>
        <v>324440.05</v>
      </c>
      <c r="O54" s="78">
        <f t="shared" si="5"/>
        <v>57722.71</v>
      </c>
    </row>
    <row r="55" spans="1:16" s="237" customFormat="1" ht="12.75" x14ac:dyDescent="0.2">
      <c r="A55" s="34">
        <v>47</v>
      </c>
      <c r="B55" s="242" t="s">
        <v>275</v>
      </c>
      <c r="C55" s="38">
        <v>807</v>
      </c>
      <c r="D55" s="37" t="s">
        <v>57</v>
      </c>
      <c r="E55" s="37" t="s">
        <v>225</v>
      </c>
      <c r="F55" s="37" t="s">
        <v>67</v>
      </c>
      <c r="G55" s="37" t="s">
        <v>276</v>
      </c>
      <c r="H55" s="173">
        <v>0</v>
      </c>
      <c r="I55" s="173">
        <v>1.64469</v>
      </c>
      <c r="J55" s="173">
        <v>1.64469</v>
      </c>
      <c r="K55" s="174">
        <f t="shared" si="2"/>
        <v>100</v>
      </c>
      <c r="M55" s="78">
        <f t="shared" ref="M55" si="15">H55*1000</f>
        <v>0</v>
      </c>
      <c r="N55" s="78">
        <f t="shared" ref="N55" si="16">I55*1000</f>
        <v>1644.69</v>
      </c>
      <c r="O55" s="78">
        <f t="shared" ref="O55" si="17">J55*1000</f>
        <v>1644.69</v>
      </c>
    </row>
    <row r="56" spans="1:16" ht="12.75" x14ac:dyDescent="0.2">
      <c r="A56" s="34">
        <v>48</v>
      </c>
      <c r="B56" s="242" t="s">
        <v>33</v>
      </c>
      <c r="C56" s="38">
        <v>807</v>
      </c>
      <c r="D56" s="37" t="s">
        <v>57</v>
      </c>
      <c r="E56" s="37" t="s">
        <v>225</v>
      </c>
      <c r="F56" s="37" t="s">
        <v>68</v>
      </c>
      <c r="G56" s="37" t="s">
        <v>41</v>
      </c>
      <c r="H56" s="173">
        <v>55.475999999999999</v>
      </c>
      <c r="I56" s="173">
        <v>60.801000000000002</v>
      </c>
      <c r="J56" s="173">
        <v>12.85</v>
      </c>
      <c r="K56" s="174">
        <f t="shared" si="2"/>
        <v>21.134520813802403</v>
      </c>
      <c r="M56" s="78">
        <f t="shared" si="3"/>
        <v>55476</v>
      </c>
      <c r="N56" s="78">
        <f t="shared" si="3"/>
        <v>60801</v>
      </c>
      <c r="O56" s="78">
        <f t="shared" si="5"/>
        <v>12850</v>
      </c>
    </row>
    <row r="57" spans="1:16" ht="12.75" x14ac:dyDescent="0.2">
      <c r="A57" s="34">
        <v>49</v>
      </c>
      <c r="B57" s="242" t="s">
        <v>43</v>
      </c>
      <c r="C57" s="38">
        <v>807</v>
      </c>
      <c r="D57" s="37" t="s">
        <v>57</v>
      </c>
      <c r="E57" s="37" t="s">
        <v>225</v>
      </c>
      <c r="F57" s="37" t="s">
        <v>68</v>
      </c>
      <c r="G57" s="37" t="s">
        <v>44</v>
      </c>
      <c r="H57" s="173">
        <v>6</v>
      </c>
      <c r="I57" s="173">
        <v>6</v>
      </c>
      <c r="J57" s="173">
        <v>0</v>
      </c>
      <c r="K57" s="174">
        <f t="shared" si="2"/>
        <v>0</v>
      </c>
      <c r="M57" s="78">
        <f t="shared" si="3"/>
        <v>6000</v>
      </c>
      <c r="N57" s="78">
        <f t="shared" si="3"/>
        <v>6000</v>
      </c>
      <c r="O57" s="78">
        <f t="shared" si="5"/>
        <v>0</v>
      </c>
    </row>
    <row r="58" spans="1:16" ht="12.75" x14ac:dyDescent="0.2">
      <c r="A58" s="34">
        <v>50</v>
      </c>
      <c r="B58" s="242" t="s">
        <v>45</v>
      </c>
      <c r="C58" s="38">
        <v>807</v>
      </c>
      <c r="D58" s="37" t="s">
        <v>57</v>
      </c>
      <c r="E58" s="37" t="s">
        <v>225</v>
      </c>
      <c r="F58" s="37" t="s">
        <v>68</v>
      </c>
      <c r="G58" s="37" t="s">
        <v>46</v>
      </c>
      <c r="H58" s="173">
        <v>148.947</v>
      </c>
      <c r="I58" s="173">
        <v>148.947</v>
      </c>
      <c r="J58" s="173">
        <v>19.966999999999999</v>
      </c>
      <c r="K58" s="174">
        <f t="shared" si="2"/>
        <v>13.405439518754992</v>
      </c>
      <c r="M58" s="78">
        <f t="shared" si="3"/>
        <v>148947</v>
      </c>
      <c r="N58" s="78">
        <f t="shared" si="3"/>
        <v>148947</v>
      </c>
      <c r="O58" s="78">
        <f t="shared" si="5"/>
        <v>19967</v>
      </c>
    </row>
    <row r="59" spans="1:16" ht="12.75" x14ac:dyDescent="0.2">
      <c r="A59" s="34">
        <v>51</v>
      </c>
      <c r="B59" s="242" t="s">
        <v>211</v>
      </c>
      <c r="C59" s="38">
        <v>807</v>
      </c>
      <c r="D59" s="37" t="s">
        <v>57</v>
      </c>
      <c r="E59" s="37" t="s">
        <v>225</v>
      </c>
      <c r="F59" s="37" t="s">
        <v>197</v>
      </c>
      <c r="G59" s="37" t="s">
        <v>210</v>
      </c>
      <c r="H59" s="173">
        <v>0</v>
      </c>
      <c r="I59" s="173">
        <v>0</v>
      </c>
      <c r="J59" s="173">
        <v>0</v>
      </c>
      <c r="K59" s="174">
        <v>0</v>
      </c>
      <c r="M59" s="78">
        <f t="shared" si="3"/>
        <v>0</v>
      </c>
      <c r="N59" s="78">
        <f t="shared" si="3"/>
        <v>0</v>
      </c>
      <c r="O59" s="78">
        <f t="shared" si="5"/>
        <v>0</v>
      </c>
    </row>
    <row r="60" spans="1:16" ht="12.75" x14ac:dyDescent="0.2">
      <c r="A60" s="34">
        <v>52</v>
      </c>
      <c r="B60" s="242" t="s">
        <v>35</v>
      </c>
      <c r="C60" s="38">
        <v>807</v>
      </c>
      <c r="D60" s="37" t="s">
        <v>57</v>
      </c>
      <c r="E60" s="37" t="s">
        <v>225</v>
      </c>
      <c r="F60" s="37" t="s">
        <v>68</v>
      </c>
      <c r="G60" s="37" t="s">
        <v>49</v>
      </c>
      <c r="H60" s="173">
        <v>0</v>
      </c>
      <c r="I60" s="173">
        <v>0</v>
      </c>
      <c r="J60" s="173">
        <v>0</v>
      </c>
      <c r="K60" s="174">
        <v>0</v>
      </c>
      <c r="M60" s="78">
        <f t="shared" si="3"/>
        <v>0</v>
      </c>
      <c r="N60" s="78">
        <f t="shared" si="3"/>
        <v>0</v>
      </c>
      <c r="O60" s="78">
        <f t="shared" ref="O60" si="18">J60*1000</f>
        <v>0</v>
      </c>
    </row>
    <row r="61" spans="1:16" ht="12.75" x14ac:dyDescent="0.2">
      <c r="A61" s="34">
        <v>53</v>
      </c>
      <c r="B61" s="242" t="s">
        <v>52</v>
      </c>
      <c r="C61" s="38">
        <v>807</v>
      </c>
      <c r="D61" s="37" t="s">
        <v>57</v>
      </c>
      <c r="E61" s="37" t="s">
        <v>225</v>
      </c>
      <c r="F61" s="37" t="s">
        <v>68</v>
      </c>
      <c r="G61" s="37" t="s">
        <v>40</v>
      </c>
      <c r="H61" s="173">
        <f>19.5</f>
        <v>19.5</v>
      </c>
      <c r="I61" s="173">
        <v>18.5</v>
      </c>
      <c r="J61" s="173">
        <v>0</v>
      </c>
      <c r="K61" s="174">
        <f t="shared" si="2"/>
        <v>0</v>
      </c>
      <c r="M61" s="78">
        <f t="shared" si="3"/>
        <v>19500</v>
      </c>
      <c r="N61" s="78">
        <f t="shared" si="3"/>
        <v>18500</v>
      </c>
      <c r="O61" s="78">
        <f t="shared" si="5"/>
        <v>0</v>
      </c>
    </row>
    <row r="62" spans="1:16" ht="12.75" x14ac:dyDescent="0.2">
      <c r="A62" s="34">
        <v>54</v>
      </c>
      <c r="B62" s="242" t="s">
        <v>278</v>
      </c>
      <c r="C62" s="38">
        <v>807</v>
      </c>
      <c r="D62" s="37" t="s">
        <v>57</v>
      </c>
      <c r="E62" s="37" t="s">
        <v>265</v>
      </c>
      <c r="F62" s="37" t="s">
        <v>173</v>
      </c>
      <c r="G62" s="37" t="s">
        <v>277</v>
      </c>
      <c r="H62" s="173">
        <v>0</v>
      </c>
      <c r="I62" s="173">
        <v>0</v>
      </c>
      <c r="J62" s="173">
        <v>0</v>
      </c>
      <c r="K62" s="174">
        <v>0</v>
      </c>
      <c r="M62" s="78">
        <f t="shared" si="3"/>
        <v>0</v>
      </c>
      <c r="N62" s="78">
        <f t="shared" si="3"/>
        <v>0</v>
      </c>
      <c r="O62" s="78">
        <f t="shared" si="5"/>
        <v>0</v>
      </c>
    </row>
    <row r="63" spans="1:16" s="237" customFormat="1" ht="12.75" x14ac:dyDescent="0.2">
      <c r="A63" s="34">
        <v>55</v>
      </c>
      <c r="B63" s="242" t="s">
        <v>408</v>
      </c>
      <c r="C63" s="38">
        <v>807</v>
      </c>
      <c r="D63" s="37" t="s">
        <v>57</v>
      </c>
      <c r="E63" s="37" t="s">
        <v>409</v>
      </c>
      <c r="F63" s="37" t="s">
        <v>173</v>
      </c>
      <c r="G63" s="37" t="s">
        <v>277</v>
      </c>
      <c r="H63" s="173">
        <v>0</v>
      </c>
      <c r="I63" s="173">
        <v>0</v>
      </c>
      <c r="J63" s="173">
        <v>0</v>
      </c>
      <c r="K63" s="174">
        <v>0</v>
      </c>
      <c r="M63" s="78">
        <f t="shared" si="3"/>
        <v>0</v>
      </c>
      <c r="N63" s="78">
        <f t="shared" si="3"/>
        <v>0</v>
      </c>
      <c r="O63" s="78">
        <f t="shared" si="5"/>
        <v>0</v>
      </c>
    </row>
    <row r="64" spans="1:16" ht="12.75" x14ac:dyDescent="0.2">
      <c r="A64" s="34">
        <v>56</v>
      </c>
      <c r="B64" s="46" t="s">
        <v>66</v>
      </c>
      <c r="C64" s="38">
        <v>807</v>
      </c>
      <c r="D64" s="37" t="s">
        <v>57</v>
      </c>
      <c r="E64" s="37" t="s">
        <v>175</v>
      </c>
      <c r="F64" s="243"/>
      <c r="G64" s="243"/>
      <c r="H64" s="79">
        <f>H65</f>
        <v>13.920999999999999</v>
      </c>
      <c r="I64" s="79">
        <f t="shared" ref="I64" si="19">I65</f>
        <v>13.920999999999999</v>
      </c>
      <c r="J64" s="69">
        <f>J65</f>
        <v>0</v>
      </c>
      <c r="K64" s="174">
        <f t="shared" si="2"/>
        <v>0</v>
      </c>
      <c r="M64" s="78">
        <f t="shared" si="3"/>
        <v>13921</v>
      </c>
      <c r="N64" s="78">
        <f t="shared" si="3"/>
        <v>13921</v>
      </c>
      <c r="O64" s="78">
        <f t="shared" si="5"/>
        <v>0</v>
      </c>
    </row>
    <row r="65" spans="1:15" ht="12.75" customHeight="1" x14ac:dyDescent="0.2">
      <c r="A65" s="34">
        <v>57</v>
      </c>
      <c r="B65" s="242" t="s">
        <v>76</v>
      </c>
      <c r="C65" s="38">
        <v>807</v>
      </c>
      <c r="D65" s="37" t="s">
        <v>57</v>
      </c>
      <c r="E65" s="37" t="s">
        <v>175</v>
      </c>
      <c r="F65" s="37" t="s">
        <v>73</v>
      </c>
      <c r="G65" s="37"/>
      <c r="H65" s="173">
        <f>SUM(H66)</f>
        <v>13.920999999999999</v>
      </c>
      <c r="I65" s="173">
        <f t="shared" ref="I65" si="20">SUM(I66)</f>
        <v>13.920999999999999</v>
      </c>
      <c r="J65" s="163">
        <f>SUM(J66)</f>
        <v>0</v>
      </c>
      <c r="K65" s="174">
        <f t="shared" si="2"/>
        <v>0</v>
      </c>
      <c r="M65" s="78">
        <f t="shared" si="3"/>
        <v>13921</v>
      </c>
      <c r="N65" s="78">
        <f t="shared" si="3"/>
        <v>13921</v>
      </c>
      <c r="O65" s="78">
        <f t="shared" si="5"/>
        <v>0</v>
      </c>
    </row>
    <row r="66" spans="1:15" ht="12.75" x14ac:dyDescent="0.2">
      <c r="A66" s="34">
        <v>58</v>
      </c>
      <c r="B66" s="242" t="s">
        <v>52</v>
      </c>
      <c r="C66" s="38">
        <v>807</v>
      </c>
      <c r="D66" s="37" t="s">
        <v>57</v>
      </c>
      <c r="E66" s="37" t="s">
        <v>175</v>
      </c>
      <c r="F66" s="37" t="s">
        <v>68</v>
      </c>
      <c r="G66" s="37" t="s">
        <v>40</v>
      </c>
      <c r="H66" s="173">
        <v>13.920999999999999</v>
      </c>
      <c r="I66" s="173">
        <v>13.920999999999999</v>
      </c>
      <c r="J66" s="173">
        <v>0</v>
      </c>
      <c r="K66" s="174">
        <f t="shared" si="2"/>
        <v>0</v>
      </c>
      <c r="M66" s="78">
        <f t="shared" si="3"/>
        <v>13921</v>
      </c>
      <c r="N66" s="78">
        <f t="shared" si="3"/>
        <v>13921</v>
      </c>
      <c r="O66" s="78">
        <f t="shared" si="5"/>
        <v>0</v>
      </c>
    </row>
    <row r="67" spans="1:15" ht="12.75" x14ac:dyDescent="0.2">
      <c r="A67" s="34">
        <v>59</v>
      </c>
      <c r="B67" s="176" t="s">
        <v>146</v>
      </c>
      <c r="C67" s="177">
        <v>807</v>
      </c>
      <c r="D67" s="177" t="s">
        <v>147</v>
      </c>
      <c r="E67" s="37"/>
      <c r="F67" s="37"/>
      <c r="G67" s="37"/>
      <c r="H67" s="173">
        <f>H68</f>
        <v>432.00000000000006</v>
      </c>
      <c r="I67" s="173">
        <f t="shared" ref="I67:J67" si="21">I68</f>
        <v>424.14000000000004</v>
      </c>
      <c r="J67" s="173">
        <f t="shared" si="21"/>
        <v>58.05818</v>
      </c>
      <c r="K67" s="174">
        <f t="shared" si="2"/>
        <v>13.688447210826613</v>
      </c>
      <c r="M67" s="78">
        <f t="shared" si="3"/>
        <v>432000.00000000006</v>
      </c>
      <c r="N67" s="78">
        <f t="shared" si="3"/>
        <v>424140.00000000006</v>
      </c>
      <c r="O67" s="78">
        <f t="shared" ref="O67:O137" si="22">J67*1000</f>
        <v>58058.18</v>
      </c>
    </row>
    <row r="68" spans="1:15" ht="12.75" x14ac:dyDescent="0.2">
      <c r="A68" s="34">
        <v>60</v>
      </c>
      <c r="B68" s="47" t="s">
        <v>148</v>
      </c>
      <c r="C68" s="48" t="s">
        <v>129</v>
      </c>
      <c r="D68" s="49" t="s">
        <v>29</v>
      </c>
      <c r="E68" s="37"/>
      <c r="F68" s="37"/>
      <c r="G68" s="37"/>
      <c r="H68" s="173">
        <f>H69</f>
        <v>432.00000000000006</v>
      </c>
      <c r="I68" s="173">
        <f>I69</f>
        <v>424.14000000000004</v>
      </c>
      <c r="J68" s="163">
        <f t="shared" ref="I67:J69" si="23">J69</f>
        <v>58.05818</v>
      </c>
      <c r="K68" s="174">
        <f t="shared" si="2"/>
        <v>13.688447210826613</v>
      </c>
      <c r="M68" s="78">
        <f t="shared" si="3"/>
        <v>432000.00000000006</v>
      </c>
      <c r="N68" s="78">
        <f t="shared" si="3"/>
        <v>424140.00000000006</v>
      </c>
      <c r="O68" s="78">
        <f t="shared" si="22"/>
        <v>58058.18</v>
      </c>
    </row>
    <row r="69" spans="1:15" ht="25.5" x14ac:dyDescent="0.2">
      <c r="A69" s="34">
        <v>61</v>
      </c>
      <c r="B69" s="178" t="s">
        <v>21</v>
      </c>
      <c r="C69" s="38">
        <v>807</v>
      </c>
      <c r="D69" s="37" t="s">
        <v>29</v>
      </c>
      <c r="E69" s="37" t="s">
        <v>176</v>
      </c>
      <c r="F69" s="37"/>
      <c r="G69" s="37"/>
      <c r="H69" s="173">
        <f>H70</f>
        <v>432.00000000000006</v>
      </c>
      <c r="I69" s="173">
        <f>I70</f>
        <v>424.14000000000004</v>
      </c>
      <c r="J69" s="163">
        <f t="shared" si="23"/>
        <v>58.05818</v>
      </c>
      <c r="K69" s="174">
        <f t="shared" si="2"/>
        <v>13.688447210826613</v>
      </c>
      <c r="M69" s="78">
        <f t="shared" si="3"/>
        <v>432000.00000000006</v>
      </c>
      <c r="N69" s="78">
        <f t="shared" si="3"/>
        <v>424140.00000000006</v>
      </c>
      <c r="O69" s="78">
        <f t="shared" si="22"/>
        <v>58058.18</v>
      </c>
    </row>
    <row r="70" spans="1:15" ht="12.75" x14ac:dyDescent="0.2">
      <c r="A70" s="34">
        <v>62</v>
      </c>
      <c r="B70" s="242" t="s">
        <v>145</v>
      </c>
      <c r="C70" s="38">
        <v>807</v>
      </c>
      <c r="D70" s="37" t="s">
        <v>29</v>
      </c>
      <c r="E70" s="37" t="s">
        <v>176</v>
      </c>
      <c r="F70" s="37" t="s">
        <v>74</v>
      </c>
      <c r="G70" s="37"/>
      <c r="H70" s="173">
        <f>SUM(H71:H77)</f>
        <v>432.00000000000006</v>
      </c>
      <c r="I70" s="173">
        <f>SUM(I71:I77)</f>
        <v>424.14000000000004</v>
      </c>
      <c r="J70" s="173">
        <f t="shared" ref="I70:J70" si="24">SUM(J71:J77)</f>
        <v>58.05818</v>
      </c>
      <c r="K70" s="174">
        <f t="shared" si="2"/>
        <v>13.688447210826613</v>
      </c>
      <c r="M70" s="78">
        <f t="shared" si="3"/>
        <v>432000.00000000006</v>
      </c>
      <c r="N70" s="78">
        <f t="shared" si="3"/>
        <v>424140.00000000006</v>
      </c>
      <c r="O70" s="78">
        <f t="shared" si="22"/>
        <v>58058.18</v>
      </c>
    </row>
    <row r="71" spans="1:15" ht="15.75" customHeight="1" x14ac:dyDescent="0.2">
      <c r="A71" s="34">
        <v>63</v>
      </c>
      <c r="B71" s="242" t="s">
        <v>32</v>
      </c>
      <c r="C71" s="38">
        <v>807</v>
      </c>
      <c r="D71" s="37" t="s">
        <v>29</v>
      </c>
      <c r="E71" s="37" t="s">
        <v>176</v>
      </c>
      <c r="F71" s="37" t="s">
        <v>67</v>
      </c>
      <c r="G71" s="37" t="s">
        <v>37</v>
      </c>
      <c r="H71" s="173">
        <v>293.92320000000001</v>
      </c>
      <c r="I71" s="173">
        <v>293.92320000000001</v>
      </c>
      <c r="J71" s="173">
        <v>45.025100000000002</v>
      </c>
      <c r="K71" s="174">
        <f t="shared" si="2"/>
        <v>15.318661473473345</v>
      </c>
      <c r="M71" s="78">
        <f t="shared" si="3"/>
        <v>293923.20000000001</v>
      </c>
      <c r="N71" s="78">
        <f t="shared" si="3"/>
        <v>293923.20000000001</v>
      </c>
      <c r="O71" s="78">
        <f t="shared" si="22"/>
        <v>45025.1</v>
      </c>
    </row>
    <row r="72" spans="1:15" ht="12.75" x14ac:dyDescent="0.2">
      <c r="A72" s="34">
        <v>64</v>
      </c>
      <c r="B72" s="242" t="s">
        <v>39</v>
      </c>
      <c r="C72" s="38">
        <v>807</v>
      </c>
      <c r="D72" s="37" t="s">
        <v>29</v>
      </c>
      <c r="E72" s="37" t="s">
        <v>176</v>
      </c>
      <c r="F72" s="37" t="s">
        <v>172</v>
      </c>
      <c r="G72" s="37" t="s">
        <v>38</v>
      </c>
      <c r="H72" s="173">
        <v>88.764809999999997</v>
      </c>
      <c r="I72" s="173">
        <v>88.764809999999997</v>
      </c>
      <c r="J72" s="173">
        <v>11.45988</v>
      </c>
      <c r="K72" s="174">
        <f t="shared" si="2"/>
        <v>12.910386447061622</v>
      </c>
      <c r="M72" s="78">
        <f t="shared" si="3"/>
        <v>88764.81</v>
      </c>
      <c r="N72" s="78">
        <f t="shared" si="3"/>
        <v>88764.81</v>
      </c>
      <c r="O72" s="78">
        <f t="shared" si="22"/>
        <v>11459.88</v>
      </c>
    </row>
    <row r="73" spans="1:15" ht="12.75" x14ac:dyDescent="0.2">
      <c r="A73" s="34">
        <v>65</v>
      </c>
      <c r="B73" s="242" t="s">
        <v>33</v>
      </c>
      <c r="C73" s="38">
        <v>807</v>
      </c>
      <c r="D73" s="37" t="s">
        <v>29</v>
      </c>
      <c r="E73" s="37" t="s">
        <v>176</v>
      </c>
      <c r="F73" s="37" t="s">
        <v>68</v>
      </c>
      <c r="G73" s="37" t="s">
        <v>41</v>
      </c>
      <c r="H73" s="173">
        <v>7.8</v>
      </c>
      <c r="I73" s="173">
        <v>7.8</v>
      </c>
      <c r="J73" s="173">
        <v>1.5731999999999999</v>
      </c>
      <c r="K73" s="174">
        <f t="shared" si="2"/>
        <v>20.169230769230769</v>
      </c>
      <c r="M73" s="78">
        <f t="shared" si="3"/>
        <v>7800</v>
      </c>
      <c r="N73" s="78">
        <f t="shared" si="3"/>
        <v>7800</v>
      </c>
      <c r="O73" s="78">
        <f t="shared" si="22"/>
        <v>1573.1999999999998</v>
      </c>
    </row>
    <row r="74" spans="1:15" ht="12.75" x14ac:dyDescent="0.2">
      <c r="A74" s="34">
        <v>66</v>
      </c>
      <c r="B74" s="242" t="s">
        <v>43</v>
      </c>
      <c r="C74" s="38">
        <v>807</v>
      </c>
      <c r="D74" s="37" t="s">
        <v>29</v>
      </c>
      <c r="E74" s="37" t="s">
        <v>176</v>
      </c>
      <c r="F74" s="37" t="s">
        <v>68</v>
      </c>
      <c r="G74" s="37" t="s">
        <v>44</v>
      </c>
      <c r="H74" s="173">
        <v>1</v>
      </c>
      <c r="I74" s="173">
        <v>1</v>
      </c>
      <c r="J74" s="173">
        <v>0</v>
      </c>
      <c r="K74" s="174">
        <f t="shared" si="2"/>
        <v>0</v>
      </c>
      <c r="M74" s="78">
        <f t="shared" ref="M74:N137" si="25">H74*1000</f>
        <v>1000</v>
      </c>
      <c r="N74" s="78">
        <f t="shared" si="25"/>
        <v>1000</v>
      </c>
      <c r="O74" s="78">
        <f t="shared" si="22"/>
        <v>0</v>
      </c>
    </row>
    <row r="75" spans="1:15" ht="12.75" x14ac:dyDescent="0.2">
      <c r="A75" s="34">
        <v>67</v>
      </c>
      <c r="B75" s="242" t="s">
        <v>45</v>
      </c>
      <c r="C75" s="38">
        <v>807</v>
      </c>
      <c r="D75" s="37" t="s">
        <v>29</v>
      </c>
      <c r="E75" s="37" t="s">
        <v>176</v>
      </c>
      <c r="F75" s="37" t="s">
        <v>68</v>
      </c>
      <c r="G75" s="37" t="s">
        <v>46</v>
      </c>
      <c r="H75" s="173">
        <v>0</v>
      </c>
      <c r="I75" s="173">
        <v>0</v>
      </c>
      <c r="J75" s="173">
        <v>0</v>
      </c>
      <c r="K75" s="174">
        <v>0</v>
      </c>
      <c r="M75" s="78">
        <f t="shared" si="25"/>
        <v>0</v>
      </c>
      <c r="N75" s="78">
        <f t="shared" si="25"/>
        <v>0</v>
      </c>
      <c r="O75" s="78">
        <f t="shared" si="22"/>
        <v>0</v>
      </c>
    </row>
    <row r="76" spans="1:15" ht="12.75" x14ac:dyDescent="0.2">
      <c r="A76" s="34">
        <v>68</v>
      </c>
      <c r="B76" s="242" t="s">
        <v>35</v>
      </c>
      <c r="C76" s="38">
        <v>807</v>
      </c>
      <c r="D76" s="37" t="s">
        <v>29</v>
      </c>
      <c r="E76" s="37" t="s">
        <v>176</v>
      </c>
      <c r="F76" s="37" t="s">
        <v>68</v>
      </c>
      <c r="G76" s="37" t="s">
        <v>49</v>
      </c>
      <c r="H76" s="173">
        <v>35.5</v>
      </c>
      <c r="I76" s="173">
        <v>27.64</v>
      </c>
      <c r="J76" s="173">
        <v>0</v>
      </c>
      <c r="K76" s="174">
        <f t="shared" si="2"/>
        <v>0</v>
      </c>
      <c r="M76" s="78"/>
      <c r="N76" s="78">
        <f t="shared" si="25"/>
        <v>27640</v>
      </c>
      <c r="O76" s="78">
        <f t="shared" si="22"/>
        <v>0</v>
      </c>
    </row>
    <row r="77" spans="1:15" ht="12.75" x14ac:dyDescent="0.2">
      <c r="A77" s="34">
        <v>69</v>
      </c>
      <c r="B77" s="242" t="s">
        <v>52</v>
      </c>
      <c r="C77" s="38">
        <v>807</v>
      </c>
      <c r="D77" s="37" t="s">
        <v>29</v>
      </c>
      <c r="E77" s="37" t="s">
        <v>176</v>
      </c>
      <c r="F77" s="37" t="s">
        <v>68</v>
      </c>
      <c r="G77" s="37" t="s">
        <v>40</v>
      </c>
      <c r="H77" s="173">
        <v>5.0119899999999999</v>
      </c>
      <c r="I77" s="173">
        <v>5.0119899999999999</v>
      </c>
      <c r="J77" s="173">
        <v>0</v>
      </c>
      <c r="K77" s="174">
        <f t="shared" si="2"/>
        <v>0</v>
      </c>
      <c r="M77" s="78">
        <f t="shared" si="25"/>
        <v>5011.99</v>
      </c>
      <c r="N77" s="78">
        <f t="shared" si="25"/>
        <v>5011.99</v>
      </c>
      <c r="O77" s="78"/>
    </row>
    <row r="78" spans="1:15" ht="25.5" x14ac:dyDescent="0.2">
      <c r="A78" s="34">
        <v>70</v>
      </c>
      <c r="B78" s="44" t="s">
        <v>186</v>
      </c>
      <c r="C78" s="48" t="s">
        <v>129</v>
      </c>
      <c r="D78" s="49" t="s">
        <v>195</v>
      </c>
      <c r="E78" s="37"/>
      <c r="F78" s="37"/>
      <c r="G78" s="37"/>
      <c r="H78" s="173">
        <f>H79+H84</f>
        <v>23</v>
      </c>
      <c r="I78" s="173">
        <f t="shared" ref="I78:J78" si="26">I79+I84</f>
        <v>249</v>
      </c>
      <c r="J78" s="173">
        <f t="shared" si="26"/>
        <v>0</v>
      </c>
      <c r="K78" s="174">
        <f t="shared" si="2"/>
        <v>0</v>
      </c>
      <c r="M78" s="78">
        <f t="shared" si="25"/>
        <v>23000</v>
      </c>
      <c r="N78" s="78">
        <f>I78*1000</f>
        <v>249000</v>
      </c>
      <c r="O78" s="78">
        <f t="shared" si="22"/>
        <v>0</v>
      </c>
    </row>
    <row r="79" spans="1:15" ht="38.25" x14ac:dyDescent="0.2">
      <c r="A79" s="34">
        <v>71</v>
      </c>
      <c r="B79" s="179" t="s">
        <v>477</v>
      </c>
      <c r="C79" s="38">
        <v>807</v>
      </c>
      <c r="D79" s="49" t="s">
        <v>187</v>
      </c>
      <c r="E79" s="37"/>
      <c r="F79" s="37"/>
      <c r="G79" s="37"/>
      <c r="H79" s="173">
        <f>H80</f>
        <v>0</v>
      </c>
      <c r="I79" s="173">
        <f t="shared" ref="I79" si="27">I80</f>
        <v>226</v>
      </c>
      <c r="J79" s="173">
        <f>J80</f>
        <v>0</v>
      </c>
      <c r="K79" s="174">
        <f t="shared" si="2"/>
        <v>0</v>
      </c>
      <c r="M79" s="78">
        <f t="shared" si="25"/>
        <v>0</v>
      </c>
      <c r="N79" s="78">
        <f t="shared" si="25"/>
        <v>226000</v>
      </c>
      <c r="O79" s="78">
        <f t="shared" si="22"/>
        <v>0</v>
      </c>
    </row>
    <row r="80" spans="1:15" ht="12.75" x14ac:dyDescent="0.2">
      <c r="A80" s="34">
        <v>72</v>
      </c>
      <c r="B80" s="180" t="s">
        <v>207</v>
      </c>
      <c r="C80" s="38">
        <v>807</v>
      </c>
      <c r="D80" s="49" t="s">
        <v>187</v>
      </c>
      <c r="E80" s="37" t="s">
        <v>196</v>
      </c>
      <c r="F80" s="37" t="s">
        <v>73</v>
      </c>
      <c r="G80" s="37"/>
      <c r="H80" s="173">
        <f>SUM(H81:H82)</f>
        <v>0</v>
      </c>
      <c r="I80" s="173">
        <f>SUM(I81:I83)</f>
        <v>226</v>
      </c>
      <c r="J80" s="173">
        <f>SUM(J81:J83)</f>
        <v>0</v>
      </c>
      <c r="K80" s="174">
        <f t="shared" si="2"/>
        <v>0</v>
      </c>
      <c r="M80" s="78">
        <f t="shared" si="25"/>
        <v>0</v>
      </c>
      <c r="N80" s="78">
        <f t="shared" si="25"/>
        <v>226000</v>
      </c>
      <c r="O80" s="78">
        <f t="shared" si="22"/>
        <v>0</v>
      </c>
    </row>
    <row r="81" spans="1:15" ht="12.75" x14ac:dyDescent="0.2">
      <c r="A81" s="34">
        <v>73</v>
      </c>
      <c r="B81" s="242" t="s">
        <v>43</v>
      </c>
      <c r="C81" s="38">
        <v>807</v>
      </c>
      <c r="D81" s="49" t="s">
        <v>187</v>
      </c>
      <c r="E81" s="37" t="s">
        <v>236</v>
      </c>
      <c r="F81" s="37" t="s">
        <v>68</v>
      </c>
      <c r="G81" s="37" t="s">
        <v>185</v>
      </c>
      <c r="H81" s="173">
        <v>0</v>
      </c>
      <c r="I81" s="173">
        <v>226</v>
      </c>
      <c r="J81" s="173">
        <v>0</v>
      </c>
      <c r="K81" s="174">
        <f t="shared" si="2"/>
        <v>0</v>
      </c>
      <c r="M81" s="78">
        <f t="shared" si="25"/>
        <v>0</v>
      </c>
      <c r="N81" s="78">
        <f t="shared" si="25"/>
        <v>226000</v>
      </c>
      <c r="O81" s="78">
        <f t="shared" si="22"/>
        <v>0</v>
      </c>
    </row>
    <row r="82" spans="1:15" ht="12.75" x14ac:dyDescent="0.2">
      <c r="A82" s="34">
        <v>74</v>
      </c>
      <c r="B82" s="242" t="s">
        <v>231</v>
      </c>
      <c r="C82" s="38">
        <v>807</v>
      </c>
      <c r="D82" s="49" t="s">
        <v>187</v>
      </c>
      <c r="E82" s="37" t="s">
        <v>236</v>
      </c>
      <c r="F82" s="37" t="s">
        <v>68</v>
      </c>
      <c r="G82" s="37" t="s">
        <v>44</v>
      </c>
      <c r="H82" s="173">
        <v>0</v>
      </c>
      <c r="I82" s="173">
        <v>0</v>
      </c>
      <c r="J82" s="173">
        <v>0</v>
      </c>
      <c r="K82" s="174">
        <v>0</v>
      </c>
      <c r="M82" s="78">
        <f t="shared" si="25"/>
        <v>0</v>
      </c>
      <c r="N82" s="78">
        <f t="shared" si="25"/>
        <v>0</v>
      </c>
      <c r="O82" s="78">
        <f t="shared" si="22"/>
        <v>0</v>
      </c>
    </row>
    <row r="83" spans="1:15" s="237" customFormat="1" ht="12.75" x14ac:dyDescent="0.2">
      <c r="A83" s="34">
        <v>75</v>
      </c>
      <c r="B83" s="242" t="s">
        <v>35</v>
      </c>
      <c r="C83" s="38">
        <v>807</v>
      </c>
      <c r="D83" s="49" t="s">
        <v>187</v>
      </c>
      <c r="E83" s="37" t="s">
        <v>236</v>
      </c>
      <c r="F83" s="37" t="s">
        <v>68</v>
      </c>
      <c r="G83" s="37" t="s">
        <v>49</v>
      </c>
      <c r="H83" s="173">
        <v>0</v>
      </c>
      <c r="I83" s="173">
        <v>0</v>
      </c>
      <c r="J83" s="173">
        <v>0</v>
      </c>
      <c r="K83" s="174">
        <v>0</v>
      </c>
      <c r="M83" s="78"/>
      <c r="N83" s="78"/>
      <c r="O83" s="78"/>
    </row>
    <row r="84" spans="1:15" ht="25.5" x14ac:dyDescent="0.2">
      <c r="A84" s="34">
        <v>76</v>
      </c>
      <c r="B84" s="50" t="s">
        <v>232</v>
      </c>
      <c r="C84" s="38">
        <v>807</v>
      </c>
      <c r="D84" s="49" t="s">
        <v>233</v>
      </c>
      <c r="E84" s="37"/>
      <c r="F84" s="37"/>
      <c r="G84" s="37"/>
      <c r="H84" s="173">
        <f>H85+H87</f>
        <v>23</v>
      </c>
      <c r="I84" s="173">
        <f t="shared" ref="I84:J84" si="28">I85+I87</f>
        <v>23</v>
      </c>
      <c r="J84" s="173">
        <f t="shared" si="28"/>
        <v>0</v>
      </c>
      <c r="K84" s="174">
        <f t="shared" ref="K84:K131" si="29">J84/I84*100</f>
        <v>0</v>
      </c>
      <c r="M84" s="78">
        <f t="shared" si="25"/>
        <v>23000</v>
      </c>
      <c r="N84" s="78">
        <f t="shared" si="25"/>
        <v>23000</v>
      </c>
      <c r="O84" s="78">
        <f t="shared" si="22"/>
        <v>0</v>
      </c>
    </row>
    <row r="85" spans="1:15" ht="12.75" x14ac:dyDescent="0.2">
      <c r="A85" s="34">
        <v>77</v>
      </c>
      <c r="B85" s="242" t="s">
        <v>76</v>
      </c>
      <c r="C85" s="38">
        <v>807</v>
      </c>
      <c r="D85" s="49" t="s">
        <v>233</v>
      </c>
      <c r="E85" s="37" t="s">
        <v>234</v>
      </c>
      <c r="F85" s="37" t="s">
        <v>73</v>
      </c>
      <c r="G85" s="37"/>
      <c r="H85" s="173">
        <f>SUM(H86)</f>
        <v>22</v>
      </c>
      <c r="I85" s="173">
        <f>SUM(I86)</f>
        <v>22</v>
      </c>
      <c r="J85" s="173">
        <f>SUM(J86:J87)</f>
        <v>0</v>
      </c>
      <c r="K85" s="174">
        <f t="shared" si="29"/>
        <v>0</v>
      </c>
      <c r="M85" s="78">
        <f t="shared" si="25"/>
        <v>22000</v>
      </c>
      <c r="N85" s="78">
        <f t="shared" si="25"/>
        <v>22000</v>
      </c>
      <c r="O85" s="78">
        <f t="shared" si="22"/>
        <v>0</v>
      </c>
    </row>
    <row r="86" spans="1:15" ht="12.75" x14ac:dyDescent="0.2">
      <c r="A86" s="34">
        <v>78</v>
      </c>
      <c r="B86" s="242" t="s">
        <v>209</v>
      </c>
      <c r="C86" s="38">
        <v>807</v>
      </c>
      <c r="D86" s="49" t="s">
        <v>233</v>
      </c>
      <c r="E86" s="37" t="s">
        <v>234</v>
      </c>
      <c r="F86" s="37" t="s">
        <v>68</v>
      </c>
      <c r="G86" s="37" t="s">
        <v>208</v>
      </c>
      <c r="H86" s="173">
        <v>22</v>
      </c>
      <c r="I86" s="173">
        <v>22</v>
      </c>
      <c r="J86" s="163">
        <v>0</v>
      </c>
      <c r="K86" s="174">
        <f t="shared" si="29"/>
        <v>0</v>
      </c>
      <c r="M86" s="78">
        <f t="shared" si="25"/>
        <v>22000</v>
      </c>
      <c r="N86" s="78">
        <f t="shared" si="25"/>
        <v>22000</v>
      </c>
      <c r="O86" s="78">
        <f t="shared" si="22"/>
        <v>0</v>
      </c>
    </row>
    <row r="87" spans="1:15" s="240" customFormat="1" ht="63.75" x14ac:dyDescent="0.2">
      <c r="A87" s="34">
        <v>79</v>
      </c>
      <c r="B87" s="242" t="s">
        <v>476</v>
      </c>
      <c r="C87" s="38">
        <v>807</v>
      </c>
      <c r="D87" s="49" t="s">
        <v>233</v>
      </c>
      <c r="E87" s="37" t="s">
        <v>412</v>
      </c>
      <c r="F87" s="37"/>
      <c r="G87" s="37"/>
      <c r="H87" s="173">
        <f>H88</f>
        <v>1</v>
      </c>
      <c r="I87" s="173">
        <f>I88</f>
        <v>1</v>
      </c>
      <c r="J87" s="173">
        <f>J88</f>
        <v>0</v>
      </c>
      <c r="K87" s="174">
        <f t="shared" si="29"/>
        <v>0</v>
      </c>
      <c r="M87" s="78"/>
      <c r="N87" s="78"/>
      <c r="O87" s="78"/>
    </row>
    <row r="88" spans="1:15" s="240" customFormat="1" ht="51" x14ac:dyDescent="0.2">
      <c r="A88" s="34">
        <v>80</v>
      </c>
      <c r="B88" s="242" t="s">
        <v>414</v>
      </c>
      <c r="C88" s="38">
        <v>807</v>
      </c>
      <c r="D88" s="49" t="s">
        <v>233</v>
      </c>
      <c r="E88" s="37" t="s">
        <v>413</v>
      </c>
      <c r="F88" s="37"/>
      <c r="G88" s="37"/>
      <c r="H88" s="173">
        <f>H89</f>
        <v>1</v>
      </c>
      <c r="I88" s="173">
        <f t="shared" ref="I88:J88" si="30">I89</f>
        <v>1</v>
      </c>
      <c r="J88" s="173">
        <f t="shared" si="30"/>
        <v>0</v>
      </c>
      <c r="K88" s="174">
        <f t="shared" si="29"/>
        <v>0</v>
      </c>
      <c r="M88" s="78"/>
      <c r="N88" s="78"/>
      <c r="O88" s="78"/>
    </row>
    <row r="89" spans="1:15" s="237" customFormat="1" ht="12.75" x14ac:dyDescent="0.2">
      <c r="A89" s="34">
        <v>81</v>
      </c>
      <c r="B89" s="242" t="s">
        <v>52</v>
      </c>
      <c r="C89" s="38">
        <v>807</v>
      </c>
      <c r="D89" s="49" t="s">
        <v>233</v>
      </c>
      <c r="E89" s="37" t="s">
        <v>406</v>
      </c>
      <c r="F89" s="37" t="s">
        <v>68</v>
      </c>
      <c r="G89" s="37" t="s">
        <v>40</v>
      </c>
      <c r="H89" s="173">
        <v>1</v>
      </c>
      <c r="I89" s="173">
        <v>1</v>
      </c>
      <c r="J89" s="163">
        <v>0</v>
      </c>
      <c r="K89" s="174">
        <f t="shared" si="29"/>
        <v>0</v>
      </c>
      <c r="M89" s="78">
        <f t="shared" si="25"/>
        <v>1000</v>
      </c>
      <c r="N89" s="78">
        <f t="shared" si="25"/>
        <v>1000</v>
      </c>
      <c r="O89" s="78">
        <f t="shared" si="22"/>
        <v>0</v>
      </c>
    </row>
    <row r="90" spans="1:15" ht="12.75" x14ac:dyDescent="0.2">
      <c r="A90" s="34">
        <v>82</v>
      </c>
      <c r="B90" s="181" t="s">
        <v>149</v>
      </c>
      <c r="C90" s="162">
        <v>807</v>
      </c>
      <c r="D90" s="162" t="s">
        <v>150</v>
      </c>
      <c r="E90" s="37"/>
      <c r="F90" s="37"/>
      <c r="G90" s="37"/>
      <c r="H90" s="173">
        <f>H91+H99</f>
        <v>798.29100000000005</v>
      </c>
      <c r="I90" s="173">
        <f t="shared" ref="I90:J90" si="31">I91+I99</f>
        <v>813.85866999999996</v>
      </c>
      <c r="J90" s="173">
        <f t="shared" si="31"/>
        <v>80.68656</v>
      </c>
      <c r="K90" s="174">
        <f t="shared" si="29"/>
        <v>9.9140751305137531</v>
      </c>
      <c r="M90" s="78">
        <f t="shared" si="25"/>
        <v>798291</v>
      </c>
      <c r="N90" s="78">
        <f t="shared" si="25"/>
        <v>813858.66999999993</v>
      </c>
      <c r="O90" s="78">
        <f t="shared" si="22"/>
        <v>80686.559999999998</v>
      </c>
    </row>
    <row r="91" spans="1:15" ht="12.75" x14ac:dyDescent="0.2">
      <c r="A91" s="34">
        <v>83</v>
      </c>
      <c r="B91" s="182" t="s">
        <v>151</v>
      </c>
      <c r="C91" s="162">
        <v>807</v>
      </c>
      <c r="D91" s="162" t="s">
        <v>58</v>
      </c>
      <c r="E91" s="37" t="s">
        <v>178</v>
      </c>
      <c r="F91" s="37"/>
      <c r="G91" s="37"/>
      <c r="H91" s="173">
        <f>H92</f>
        <v>798.29100000000005</v>
      </c>
      <c r="I91" s="163">
        <f>I92</f>
        <v>813.85866999999996</v>
      </c>
      <c r="J91" s="163">
        <f t="shared" ref="J91" si="32">J92</f>
        <v>80.68656</v>
      </c>
      <c r="K91" s="174">
        <f t="shared" si="29"/>
        <v>9.9140751305137531</v>
      </c>
      <c r="M91" s="78">
        <f t="shared" si="25"/>
        <v>798291</v>
      </c>
      <c r="N91" s="78">
        <f t="shared" si="25"/>
        <v>813858.66999999993</v>
      </c>
      <c r="O91" s="78">
        <f t="shared" si="22"/>
        <v>80686.559999999998</v>
      </c>
    </row>
    <row r="92" spans="1:15" ht="38.25" x14ac:dyDescent="0.2">
      <c r="A92" s="34">
        <v>84</v>
      </c>
      <c r="B92" s="179" t="s">
        <v>205</v>
      </c>
      <c r="C92" s="38">
        <v>807</v>
      </c>
      <c r="D92" s="37" t="s">
        <v>58</v>
      </c>
      <c r="E92" s="37" t="s">
        <v>178</v>
      </c>
      <c r="F92" s="37"/>
      <c r="G92" s="37"/>
      <c r="H92" s="173">
        <f>H93</f>
        <v>798.29100000000005</v>
      </c>
      <c r="I92" s="163">
        <f>I93</f>
        <v>813.85866999999996</v>
      </c>
      <c r="J92" s="163">
        <f>J93</f>
        <v>80.68656</v>
      </c>
      <c r="K92" s="174">
        <f t="shared" si="29"/>
        <v>9.9140751305137531</v>
      </c>
      <c r="M92" s="78">
        <f t="shared" si="25"/>
        <v>798291</v>
      </c>
      <c r="N92" s="78">
        <f t="shared" si="25"/>
        <v>813858.66999999993</v>
      </c>
      <c r="O92" s="78">
        <f t="shared" si="22"/>
        <v>80686.559999999998</v>
      </c>
    </row>
    <row r="93" spans="1:15" ht="38.25" x14ac:dyDescent="0.2">
      <c r="A93" s="34">
        <v>85</v>
      </c>
      <c r="B93" s="179" t="s">
        <v>77</v>
      </c>
      <c r="C93" s="38">
        <v>807</v>
      </c>
      <c r="D93" s="37" t="s">
        <v>58</v>
      </c>
      <c r="E93" s="37" t="s">
        <v>178</v>
      </c>
      <c r="F93" s="37" t="s">
        <v>73</v>
      </c>
      <c r="G93" s="37"/>
      <c r="H93" s="173">
        <f>SUM(H94:H98)</f>
        <v>798.29100000000005</v>
      </c>
      <c r="I93" s="173">
        <f>SUM(I94:I98)</f>
        <v>813.85866999999996</v>
      </c>
      <c r="J93" s="173">
        <f>SUM(J94:J98)</f>
        <v>80.68656</v>
      </c>
      <c r="K93" s="174">
        <f t="shared" si="29"/>
        <v>9.9140751305137531</v>
      </c>
      <c r="M93" s="78">
        <f t="shared" si="25"/>
        <v>798291</v>
      </c>
      <c r="N93" s="78">
        <f t="shared" si="25"/>
        <v>813858.66999999993</v>
      </c>
      <c r="O93" s="78">
        <f t="shared" si="22"/>
        <v>80686.559999999998</v>
      </c>
    </row>
    <row r="94" spans="1:15" ht="12.75" x14ac:dyDescent="0.2">
      <c r="A94" s="34">
        <v>86</v>
      </c>
      <c r="B94" s="242" t="s">
        <v>43</v>
      </c>
      <c r="C94" s="38">
        <v>807</v>
      </c>
      <c r="D94" s="37" t="s">
        <v>58</v>
      </c>
      <c r="E94" s="37" t="s">
        <v>178</v>
      </c>
      <c r="F94" s="37" t="s">
        <v>68</v>
      </c>
      <c r="G94" s="37" t="s">
        <v>44</v>
      </c>
      <c r="H94" s="173">
        <v>695.2</v>
      </c>
      <c r="I94" s="173">
        <v>710.76766999999995</v>
      </c>
      <c r="J94" s="173">
        <v>80.68656</v>
      </c>
      <c r="K94" s="174">
        <f t="shared" si="29"/>
        <v>11.352030122585626</v>
      </c>
      <c r="M94" s="78">
        <f t="shared" si="25"/>
        <v>695200</v>
      </c>
      <c r="N94" s="78">
        <f t="shared" si="25"/>
        <v>710767.66999999993</v>
      </c>
      <c r="O94" s="78">
        <f t="shared" si="22"/>
        <v>80686.559999999998</v>
      </c>
    </row>
    <row r="95" spans="1:15" s="237" customFormat="1" ht="12.75" x14ac:dyDescent="0.2">
      <c r="A95" s="34">
        <v>87</v>
      </c>
      <c r="B95" s="242" t="s">
        <v>45</v>
      </c>
      <c r="C95" s="38">
        <v>807</v>
      </c>
      <c r="D95" s="37" t="s">
        <v>58</v>
      </c>
      <c r="E95" s="37" t="s">
        <v>178</v>
      </c>
      <c r="F95" s="37" t="s">
        <v>68</v>
      </c>
      <c r="G95" s="37" t="s">
        <v>46</v>
      </c>
      <c r="H95" s="173">
        <v>0</v>
      </c>
      <c r="I95" s="173">
        <v>0</v>
      </c>
      <c r="J95" s="173">
        <v>0</v>
      </c>
      <c r="K95" s="174">
        <v>0</v>
      </c>
      <c r="M95" s="78"/>
      <c r="N95" s="78"/>
      <c r="O95" s="78"/>
    </row>
    <row r="96" spans="1:15" s="237" customFormat="1" ht="12.75" x14ac:dyDescent="0.2">
      <c r="A96" s="34">
        <v>88</v>
      </c>
      <c r="B96" s="242" t="s">
        <v>35</v>
      </c>
      <c r="C96" s="38">
        <v>807</v>
      </c>
      <c r="D96" s="37" t="s">
        <v>58</v>
      </c>
      <c r="E96" s="37" t="s">
        <v>178</v>
      </c>
      <c r="F96" s="37" t="s">
        <v>68</v>
      </c>
      <c r="G96" s="37" t="s">
        <v>49</v>
      </c>
      <c r="H96" s="173">
        <v>0</v>
      </c>
      <c r="I96" s="173">
        <v>0</v>
      </c>
      <c r="J96" s="173">
        <v>0</v>
      </c>
      <c r="K96" s="174">
        <v>0</v>
      </c>
      <c r="M96" s="78"/>
      <c r="N96" s="78"/>
      <c r="O96" s="78"/>
    </row>
    <row r="97" spans="1:15" s="249" customFormat="1" ht="12.75" x14ac:dyDescent="0.2">
      <c r="A97" s="34">
        <v>89</v>
      </c>
      <c r="B97" s="242" t="s">
        <v>52</v>
      </c>
      <c r="C97" s="38">
        <v>807</v>
      </c>
      <c r="D97" s="37" t="s">
        <v>58</v>
      </c>
      <c r="E97" s="37" t="s">
        <v>178</v>
      </c>
      <c r="F97" s="37" t="s">
        <v>68</v>
      </c>
      <c r="G97" s="37" t="s">
        <v>40</v>
      </c>
      <c r="H97" s="173">
        <v>0</v>
      </c>
      <c r="I97" s="173">
        <v>0</v>
      </c>
      <c r="J97" s="173">
        <v>0</v>
      </c>
      <c r="K97" s="174">
        <v>0</v>
      </c>
      <c r="M97" s="78"/>
      <c r="N97" s="78"/>
      <c r="O97" s="78"/>
    </row>
    <row r="98" spans="1:15" ht="12.75" x14ac:dyDescent="0.2">
      <c r="A98" s="34">
        <v>90</v>
      </c>
      <c r="B98" s="242" t="s">
        <v>43</v>
      </c>
      <c r="C98" s="38">
        <v>807</v>
      </c>
      <c r="D98" s="37" t="s">
        <v>58</v>
      </c>
      <c r="E98" s="37" t="s">
        <v>478</v>
      </c>
      <c r="F98" s="37" t="s">
        <v>68</v>
      </c>
      <c r="G98" s="37" t="s">
        <v>479</v>
      </c>
      <c r="H98" s="173">
        <v>103.09099999999999</v>
      </c>
      <c r="I98" s="173">
        <v>103.09099999999999</v>
      </c>
      <c r="J98" s="173">
        <v>0</v>
      </c>
      <c r="K98" s="174">
        <f t="shared" si="29"/>
        <v>0</v>
      </c>
      <c r="M98" s="78">
        <f t="shared" si="25"/>
        <v>103091</v>
      </c>
      <c r="N98" s="78">
        <f t="shared" si="25"/>
        <v>103091</v>
      </c>
      <c r="O98" s="78">
        <f t="shared" si="22"/>
        <v>0</v>
      </c>
    </row>
    <row r="99" spans="1:15" ht="11.25" customHeight="1" x14ac:dyDescent="0.2">
      <c r="A99" s="34">
        <v>91</v>
      </c>
      <c r="B99" s="50" t="s">
        <v>266</v>
      </c>
      <c r="C99" s="38">
        <v>807</v>
      </c>
      <c r="D99" s="49" t="s">
        <v>264</v>
      </c>
      <c r="E99" s="37"/>
      <c r="F99" s="37"/>
      <c r="G99" s="37"/>
      <c r="H99" s="173">
        <f>H100</f>
        <v>0</v>
      </c>
      <c r="I99" s="173">
        <f>I100</f>
        <v>0</v>
      </c>
      <c r="J99" s="173">
        <f>J100</f>
        <v>0</v>
      </c>
      <c r="K99" s="174">
        <v>0</v>
      </c>
      <c r="M99" s="78">
        <f t="shared" si="25"/>
        <v>0</v>
      </c>
      <c r="N99" s="78"/>
      <c r="O99" s="78"/>
    </row>
    <row r="100" spans="1:15" ht="12" customHeight="1" x14ac:dyDescent="0.2">
      <c r="A100" s="34">
        <v>92</v>
      </c>
      <c r="B100" s="242" t="s">
        <v>76</v>
      </c>
      <c r="C100" s="38">
        <v>807</v>
      </c>
      <c r="D100" s="49" t="s">
        <v>264</v>
      </c>
      <c r="E100" s="37" t="s">
        <v>265</v>
      </c>
      <c r="F100" s="37" t="s">
        <v>73</v>
      </c>
      <c r="G100" s="37"/>
      <c r="H100" s="173">
        <f>SUM(H101)</f>
        <v>0</v>
      </c>
      <c r="I100" s="173">
        <f t="shared" ref="I100:J100" si="33">SUM(I101)</f>
        <v>0</v>
      </c>
      <c r="J100" s="173">
        <f t="shared" si="33"/>
        <v>0</v>
      </c>
      <c r="K100" s="174">
        <v>0</v>
      </c>
      <c r="M100" s="78">
        <f t="shared" si="25"/>
        <v>0</v>
      </c>
      <c r="N100" s="78"/>
      <c r="O100" s="78"/>
    </row>
    <row r="101" spans="1:15" ht="12" customHeight="1" x14ac:dyDescent="0.2">
      <c r="A101" s="34">
        <v>93</v>
      </c>
      <c r="B101" s="242" t="s">
        <v>45</v>
      </c>
      <c r="C101" s="38">
        <v>807</v>
      </c>
      <c r="D101" s="49" t="s">
        <v>264</v>
      </c>
      <c r="E101" s="37" t="s">
        <v>265</v>
      </c>
      <c r="F101" s="37" t="s">
        <v>68</v>
      </c>
      <c r="G101" s="37" t="s">
        <v>46</v>
      </c>
      <c r="H101" s="173">
        <v>0</v>
      </c>
      <c r="I101" s="173">
        <v>0</v>
      </c>
      <c r="J101" s="173">
        <v>0</v>
      </c>
      <c r="K101" s="174">
        <v>0</v>
      </c>
      <c r="M101" s="78">
        <f t="shared" si="25"/>
        <v>0</v>
      </c>
      <c r="N101" s="78"/>
      <c r="O101" s="78"/>
    </row>
    <row r="102" spans="1:15" ht="12" customHeight="1" x14ac:dyDescent="0.2">
      <c r="A102" s="34">
        <v>94</v>
      </c>
      <c r="B102" s="181" t="s">
        <v>152</v>
      </c>
      <c r="C102" s="162">
        <v>807</v>
      </c>
      <c r="D102" s="162" t="s">
        <v>30</v>
      </c>
      <c r="E102" s="37"/>
      <c r="F102" s="37"/>
      <c r="G102" s="37"/>
      <c r="H102" s="173">
        <f>H103</f>
        <v>1048</v>
      </c>
      <c r="I102" s="173">
        <f>I103</f>
        <v>1535.73828</v>
      </c>
      <c r="J102" s="173">
        <f t="shared" ref="J102" si="34">J103</f>
        <v>371.57243999999997</v>
      </c>
      <c r="K102" s="174">
        <f t="shared" si="29"/>
        <v>24.195036669920082</v>
      </c>
      <c r="M102" s="78">
        <f t="shared" si="25"/>
        <v>1048000</v>
      </c>
      <c r="N102" s="78">
        <f t="shared" si="25"/>
        <v>1535738.28</v>
      </c>
      <c r="O102" s="78">
        <f t="shared" si="22"/>
        <v>371572.43999999994</v>
      </c>
    </row>
    <row r="103" spans="1:15" ht="12.75" x14ac:dyDescent="0.2">
      <c r="A103" s="34">
        <v>95</v>
      </c>
      <c r="B103" s="183" t="s">
        <v>153</v>
      </c>
      <c r="C103" s="162">
        <v>807</v>
      </c>
      <c r="D103" s="164" t="s">
        <v>31</v>
      </c>
      <c r="E103" s="37"/>
      <c r="F103" s="37"/>
      <c r="G103" s="37"/>
      <c r="H103" s="173">
        <f>H104+H111</f>
        <v>1048</v>
      </c>
      <c r="I103" s="173">
        <f t="shared" ref="I103:J103" si="35">I104+I111</f>
        <v>1535.73828</v>
      </c>
      <c r="J103" s="173">
        <f t="shared" si="35"/>
        <v>371.57243999999997</v>
      </c>
      <c r="K103" s="174">
        <f t="shared" si="29"/>
        <v>24.195036669920082</v>
      </c>
      <c r="M103" s="78">
        <f t="shared" si="25"/>
        <v>1048000</v>
      </c>
      <c r="N103" s="78">
        <f t="shared" si="25"/>
        <v>1535738.28</v>
      </c>
      <c r="O103" s="78">
        <f t="shared" si="22"/>
        <v>371572.43999999994</v>
      </c>
    </row>
    <row r="104" spans="1:15" ht="38.25" x14ac:dyDescent="0.2">
      <c r="A104" s="34">
        <v>96</v>
      </c>
      <c r="B104" s="179" t="s">
        <v>205</v>
      </c>
      <c r="C104" s="38">
        <v>807</v>
      </c>
      <c r="D104" s="37" t="s">
        <v>31</v>
      </c>
      <c r="E104" s="37" t="s">
        <v>179</v>
      </c>
      <c r="F104" s="42"/>
      <c r="G104" s="42"/>
      <c r="H104" s="79">
        <f t="shared" ref="H104:I104" si="36">H105</f>
        <v>880</v>
      </c>
      <c r="I104" s="79">
        <f t="shared" si="36"/>
        <v>1367.73828</v>
      </c>
      <c r="J104" s="79">
        <f>J105</f>
        <v>338.99896999999999</v>
      </c>
      <c r="K104" s="174">
        <f t="shared" si="29"/>
        <v>24.785368294290922</v>
      </c>
      <c r="M104" s="78">
        <f t="shared" si="25"/>
        <v>880000</v>
      </c>
      <c r="N104" s="78">
        <f t="shared" si="25"/>
        <v>1367738.28</v>
      </c>
      <c r="O104" s="78">
        <f t="shared" si="22"/>
        <v>338998.97</v>
      </c>
    </row>
    <row r="105" spans="1:15" ht="77.25" customHeight="1" x14ac:dyDescent="0.2">
      <c r="A105" s="34">
        <v>97</v>
      </c>
      <c r="B105" s="180" t="s">
        <v>78</v>
      </c>
      <c r="C105" s="38">
        <v>807</v>
      </c>
      <c r="D105" s="37" t="s">
        <v>31</v>
      </c>
      <c r="E105" s="37" t="s">
        <v>180</v>
      </c>
      <c r="F105" s="37" t="s">
        <v>73</v>
      </c>
      <c r="G105" s="37"/>
      <c r="H105" s="173">
        <f>SUM(H106:H110)</f>
        <v>880</v>
      </c>
      <c r="I105" s="173">
        <f t="shared" ref="I105:J105" si="37">SUM(I106:I110)</f>
        <v>1367.73828</v>
      </c>
      <c r="J105" s="173">
        <f t="shared" si="37"/>
        <v>338.99896999999999</v>
      </c>
      <c r="K105" s="174">
        <f t="shared" si="29"/>
        <v>24.785368294290922</v>
      </c>
      <c r="M105" s="78">
        <f t="shared" si="25"/>
        <v>880000</v>
      </c>
      <c r="N105" s="78">
        <f t="shared" si="25"/>
        <v>1367738.28</v>
      </c>
      <c r="O105" s="78">
        <f t="shared" si="22"/>
        <v>338998.97</v>
      </c>
    </row>
    <row r="106" spans="1:15" s="197" customFormat="1" ht="12.75" x14ac:dyDescent="0.2">
      <c r="A106" s="34">
        <v>98</v>
      </c>
      <c r="B106" s="242" t="s">
        <v>34</v>
      </c>
      <c r="C106" s="38">
        <v>807</v>
      </c>
      <c r="D106" s="37" t="s">
        <v>31</v>
      </c>
      <c r="E106" s="37" t="s">
        <v>181</v>
      </c>
      <c r="F106" s="37" t="s">
        <v>393</v>
      </c>
      <c r="G106" s="37" t="s">
        <v>42</v>
      </c>
      <c r="H106" s="173">
        <v>700</v>
      </c>
      <c r="I106" s="173">
        <v>700</v>
      </c>
      <c r="J106" s="173">
        <v>238.99897000000001</v>
      </c>
      <c r="K106" s="174">
        <f t="shared" si="29"/>
        <v>34.142710000000001</v>
      </c>
      <c r="M106" s="78"/>
      <c r="N106" s="78">
        <f t="shared" si="25"/>
        <v>700000</v>
      </c>
      <c r="O106" s="78">
        <f t="shared" si="22"/>
        <v>238998.97</v>
      </c>
    </row>
    <row r="107" spans="1:15" ht="12.75" x14ac:dyDescent="0.2">
      <c r="A107" s="34">
        <v>99</v>
      </c>
      <c r="B107" s="242" t="s">
        <v>43</v>
      </c>
      <c r="C107" s="38">
        <v>808</v>
      </c>
      <c r="D107" s="37" t="s">
        <v>31</v>
      </c>
      <c r="E107" s="37" t="s">
        <v>182</v>
      </c>
      <c r="F107" s="37" t="s">
        <v>68</v>
      </c>
      <c r="G107" s="37" t="s">
        <v>44</v>
      </c>
      <c r="H107" s="173">
        <v>0</v>
      </c>
      <c r="I107" s="173">
        <v>0</v>
      </c>
      <c r="J107" s="173">
        <v>0</v>
      </c>
      <c r="K107" s="174">
        <v>0</v>
      </c>
      <c r="M107" s="78"/>
      <c r="N107" s="78">
        <f t="shared" si="25"/>
        <v>0</v>
      </c>
      <c r="O107" s="78">
        <f t="shared" si="22"/>
        <v>0</v>
      </c>
    </row>
    <row r="108" spans="1:15" ht="12.75" x14ac:dyDescent="0.2">
      <c r="A108" s="34">
        <v>100</v>
      </c>
      <c r="B108" s="242" t="s">
        <v>35</v>
      </c>
      <c r="C108" s="38">
        <v>807</v>
      </c>
      <c r="D108" s="37" t="s">
        <v>31</v>
      </c>
      <c r="E108" s="37" t="s">
        <v>182</v>
      </c>
      <c r="F108" s="37" t="s">
        <v>68</v>
      </c>
      <c r="G108" s="37" t="s">
        <v>49</v>
      </c>
      <c r="H108" s="173">
        <v>0</v>
      </c>
      <c r="I108" s="173">
        <v>0</v>
      </c>
      <c r="J108" s="173">
        <v>0</v>
      </c>
      <c r="K108" s="174">
        <v>0</v>
      </c>
      <c r="M108" s="78"/>
      <c r="N108" s="78">
        <f t="shared" si="25"/>
        <v>0</v>
      </c>
      <c r="O108" s="78">
        <f t="shared" si="22"/>
        <v>0</v>
      </c>
    </row>
    <row r="109" spans="1:15" ht="12.75" x14ac:dyDescent="0.2">
      <c r="A109" s="34">
        <v>101</v>
      </c>
      <c r="B109" s="242" t="s">
        <v>52</v>
      </c>
      <c r="C109" s="38">
        <v>807</v>
      </c>
      <c r="D109" s="37" t="s">
        <v>31</v>
      </c>
      <c r="E109" s="37" t="s">
        <v>182</v>
      </c>
      <c r="F109" s="37" t="s">
        <v>68</v>
      </c>
      <c r="G109" s="37" t="s">
        <v>40</v>
      </c>
      <c r="H109" s="173">
        <v>180</v>
      </c>
      <c r="I109" s="173">
        <v>667.73828000000003</v>
      </c>
      <c r="J109" s="173">
        <v>100</v>
      </c>
      <c r="K109" s="174">
        <f t="shared" si="29"/>
        <v>14.975927394787069</v>
      </c>
      <c r="M109" s="78">
        <f t="shared" si="25"/>
        <v>180000</v>
      </c>
      <c r="N109" s="78">
        <f t="shared" si="25"/>
        <v>667738.28</v>
      </c>
      <c r="O109" s="78">
        <f t="shared" si="22"/>
        <v>100000</v>
      </c>
    </row>
    <row r="110" spans="1:15" s="195" customFormat="1" ht="12.75" x14ac:dyDescent="0.2">
      <c r="A110" s="34">
        <v>102</v>
      </c>
      <c r="B110" s="242" t="s">
        <v>45</v>
      </c>
      <c r="C110" s="38">
        <v>807</v>
      </c>
      <c r="D110" s="37" t="s">
        <v>31</v>
      </c>
      <c r="E110" s="37" t="s">
        <v>182</v>
      </c>
      <c r="F110" s="37" t="s">
        <v>68</v>
      </c>
      <c r="G110" s="37" t="s">
        <v>46</v>
      </c>
      <c r="H110" s="173">
        <v>0</v>
      </c>
      <c r="I110" s="173">
        <v>0</v>
      </c>
      <c r="J110" s="173">
        <v>0</v>
      </c>
      <c r="K110" s="174">
        <v>0</v>
      </c>
      <c r="M110" s="78"/>
      <c r="N110" s="78">
        <f t="shared" si="25"/>
        <v>0</v>
      </c>
      <c r="O110" s="78">
        <f t="shared" si="22"/>
        <v>0</v>
      </c>
    </row>
    <row r="111" spans="1:15" ht="12.75" x14ac:dyDescent="0.2">
      <c r="A111" s="34">
        <v>103</v>
      </c>
      <c r="B111" s="242" t="s">
        <v>76</v>
      </c>
      <c r="C111" s="38">
        <v>807</v>
      </c>
      <c r="D111" s="37" t="s">
        <v>31</v>
      </c>
      <c r="E111" s="37" t="s">
        <v>267</v>
      </c>
      <c r="F111" s="37" t="s">
        <v>73</v>
      </c>
      <c r="G111" s="37"/>
      <c r="H111" s="173">
        <f>SUM(H112:H113)</f>
        <v>168</v>
      </c>
      <c r="I111" s="173">
        <f>SUM(I112:I113)</f>
        <v>168</v>
      </c>
      <c r="J111" s="173">
        <f>SUM(J112:J113)</f>
        <v>32.57347</v>
      </c>
      <c r="K111" s="174">
        <f t="shared" si="29"/>
        <v>19.388970238095236</v>
      </c>
      <c r="M111" s="78">
        <f t="shared" si="25"/>
        <v>168000</v>
      </c>
      <c r="N111" s="78">
        <f t="shared" si="25"/>
        <v>168000</v>
      </c>
      <c r="O111" s="78">
        <f t="shared" si="22"/>
        <v>32573.47</v>
      </c>
    </row>
    <row r="112" spans="1:15" ht="12.75" x14ac:dyDescent="0.2">
      <c r="A112" s="34">
        <v>104</v>
      </c>
      <c r="B112" s="242" t="s">
        <v>45</v>
      </c>
      <c r="C112" s="38">
        <v>807</v>
      </c>
      <c r="D112" s="37" t="s">
        <v>31</v>
      </c>
      <c r="E112" s="37" t="s">
        <v>267</v>
      </c>
      <c r="F112" s="37" t="s">
        <v>68</v>
      </c>
      <c r="G112" s="37" t="s">
        <v>46</v>
      </c>
      <c r="H112" s="173">
        <v>168</v>
      </c>
      <c r="I112" s="173">
        <v>168</v>
      </c>
      <c r="J112" s="173">
        <v>32.57347</v>
      </c>
      <c r="K112" s="174">
        <f t="shared" si="29"/>
        <v>19.388970238095236</v>
      </c>
      <c r="M112" s="78">
        <f t="shared" si="25"/>
        <v>168000</v>
      </c>
      <c r="N112" s="78">
        <f t="shared" si="25"/>
        <v>168000</v>
      </c>
      <c r="O112" s="78">
        <f t="shared" ref="O112" si="38">J112*1000</f>
        <v>32573.47</v>
      </c>
    </row>
    <row r="113" spans="1:15" s="249" customFormat="1" ht="12.75" x14ac:dyDescent="0.2">
      <c r="A113" s="34">
        <v>105</v>
      </c>
      <c r="B113" s="242" t="s">
        <v>47</v>
      </c>
      <c r="C113" s="38">
        <v>807</v>
      </c>
      <c r="D113" s="37" t="s">
        <v>31</v>
      </c>
      <c r="E113" s="37" t="s">
        <v>267</v>
      </c>
      <c r="F113" s="37" t="s">
        <v>68</v>
      </c>
      <c r="G113" s="37" t="s">
        <v>48</v>
      </c>
      <c r="H113" s="173">
        <v>0</v>
      </c>
      <c r="I113" s="173">
        <v>0</v>
      </c>
      <c r="J113" s="173">
        <v>0</v>
      </c>
      <c r="K113" s="174">
        <v>0</v>
      </c>
      <c r="M113" s="78"/>
      <c r="N113" s="78">
        <f t="shared" si="25"/>
        <v>0</v>
      </c>
      <c r="O113" s="78"/>
    </row>
    <row r="114" spans="1:15" ht="17.25" customHeight="1" x14ac:dyDescent="0.2">
      <c r="A114" s="34">
        <v>109</v>
      </c>
      <c r="B114" s="51" t="s">
        <v>154</v>
      </c>
      <c r="C114" s="52">
        <v>807</v>
      </c>
      <c r="D114" s="53" t="s">
        <v>28</v>
      </c>
      <c r="E114" s="53"/>
      <c r="F114" s="53"/>
      <c r="G114" s="54"/>
      <c r="H114" s="184">
        <f>H115</f>
        <v>1</v>
      </c>
      <c r="I114" s="184">
        <f t="shared" ref="I114:J114" si="39">I115</f>
        <v>1</v>
      </c>
      <c r="J114" s="184">
        <f t="shared" si="39"/>
        <v>0</v>
      </c>
      <c r="K114" s="174">
        <f t="shared" si="29"/>
        <v>0</v>
      </c>
      <c r="M114" s="78">
        <f t="shared" si="25"/>
        <v>1000</v>
      </c>
      <c r="N114" s="78">
        <f t="shared" si="25"/>
        <v>1000</v>
      </c>
      <c r="O114" s="78">
        <f t="shared" si="22"/>
        <v>0</v>
      </c>
    </row>
    <row r="115" spans="1:15" ht="12.75" x14ac:dyDescent="0.2">
      <c r="A115" s="34">
        <v>110</v>
      </c>
      <c r="B115" s="168" t="s">
        <v>212</v>
      </c>
      <c r="C115" s="162">
        <v>807</v>
      </c>
      <c r="D115" s="162" t="s">
        <v>28</v>
      </c>
      <c r="E115" s="162" t="s">
        <v>155</v>
      </c>
      <c r="F115" s="162" t="s">
        <v>155</v>
      </c>
      <c r="G115" s="37"/>
      <c r="H115" s="173">
        <f>H116</f>
        <v>1</v>
      </c>
      <c r="I115" s="173">
        <f t="shared" ref="I114:J115" si="40">I116</f>
        <v>1</v>
      </c>
      <c r="J115" s="173">
        <f t="shared" si="40"/>
        <v>0</v>
      </c>
      <c r="K115" s="174">
        <f t="shared" si="29"/>
        <v>0</v>
      </c>
      <c r="M115" s="78">
        <f t="shared" si="25"/>
        <v>1000</v>
      </c>
      <c r="N115" s="78">
        <f t="shared" si="25"/>
        <v>1000</v>
      </c>
      <c r="O115" s="78">
        <f t="shared" si="22"/>
        <v>0</v>
      </c>
    </row>
    <row r="116" spans="1:15" ht="38.25" x14ac:dyDescent="0.2">
      <c r="A116" s="34">
        <v>111</v>
      </c>
      <c r="B116" s="66" t="s">
        <v>213</v>
      </c>
      <c r="C116" s="162">
        <v>807</v>
      </c>
      <c r="D116" s="162" t="s">
        <v>28</v>
      </c>
      <c r="E116" s="162" t="s">
        <v>214</v>
      </c>
      <c r="F116" s="162" t="s">
        <v>155</v>
      </c>
      <c r="G116" s="37"/>
      <c r="H116" s="173">
        <f>SUM(H117)</f>
        <v>1</v>
      </c>
      <c r="I116" s="173">
        <f t="shared" ref="I116:J116" si="41">SUM(I117)</f>
        <v>1</v>
      </c>
      <c r="J116" s="173">
        <f t="shared" si="41"/>
        <v>0</v>
      </c>
      <c r="K116" s="174">
        <f t="shared" si="29"/>
        <v>0</v>
      </c>
      <c r="M116" s="78">
        <f t="shared" si="25"/>
        <v>1000</v>
      </c>
      <c r="N116" s="78">
        <f t="shared" si="25"/>
        <v>1000</v>
      </c>
      <c r="O116" s="78">
        <f t="shared" si="22"/>
        <v>0</v>
      </c>
    </row>
    <row r="117" spans="1:15" ht="12.75" x14ac:dyDescent="0.2">
      <c r="A117" s="34">
        <v>112</v>
      </c>
      <c r="B117" s="161" t="s">
        <v>215</v>
      </c>
      <c r="C117" s="162">
        <v>807</v>
      </c>
      <c r="D117" s="162" t="s">
        <v>28</v>
      </c>
      <c r="E117" s="162">
        <v>6400080000</v>
      </c>
      <c r="F117" s="162" t="s">
        <v>155</v>
      </c>
      <c r="G117" s="37"/>
      <c r="H117" s="173">
        <f>H118</f>
        <v>1</v>
      </c>
      <c r="I117" s="173">
        <f t="shared" ref="I117:J119" si="42">I118</f>
        <v>1</v>
      </c>
      <c r="J117" s="173">
        <f t="shared" si="42"/>
        <v>0</v>
      </c>
      <c r="K117" s="174">
        <f t="shared" si="29"/>
        <v>0</v>
      </c>
      <c r="M117" s="78">
        <f t="shared" si="25"/>
        <v>1000</v>
      </c>
      <c r="N117" s="78">
        <f t="shared" si="25"/>
        <v>1000</v>
      </c>
      <c r="O117" s="78">
        <f t="shared" si="22"/>
        <v>0</v>
      </c>
    </row>
    <row r="118" spans="1:15" ht="38.25" x14ac:dyDescent="0.2">
      <c r="A118" s="34">
        <v>113</v>
      </c>
      <c r="B118" s="161" t="s">
        <v>216</v>
      </c>
      <c r="C118" s="162">
        <v>807</v>
      </c>
      <c r="D118" s="162" t="s">
        <v>28</v>
      </c>
      <c r="E118" s="162">
        <v>6400087000</v>
      </c>
      <c r="F118" s="162" t="s">
        <v>155</v>
      </c>
      <c r="G118" s="37"/>
      <c r="H118" s="173">
        <f>H119</f>
        <v>1</v>
      </c>
      <c r="I118" s="173">
        <f t="shared" si="42"/>
        <v>1</v>
      </c>
      <c r="J118" s="173">
        <f t="shared" si="42"/>
        <v>0</v>
      </c>
      <c r="K118" s="174">
        <f t="shared" si="29"/>
        <v>0</v>
      </c>
      <c r="M118" s="78">
        <f t="shared" si="25"/>
        <v>1000</v>
      </c>
      <c r="N118" s="78">
        <f t="shared" si="25"/>
        <v>1000</v>
      </c>
      <c r="O118" s="78">
        <f t="shared" si="22"/>
        <v>0</v>
      </c>
    </row>
    <row r="119" spans="1:15" ht="12.75" x14ac:dyDescent="0.2">
      <c r="A119" s="34">
        <v>114</v>
      </c>
      <c r="B119" s="161" t="s">
        <v>217</v>
      </c>
      <c r="C119" s="162">
        <v>807</v>
      </c>
      <c r="D119" s="162" t="s">
        <v>28</v>
      </c>
      <c r="E119" s="162">
        <v>6400087000</v>
      </c>
      <c r="F119" s="162">
        <v>500</v>
      </c>
      <c r="G119" s="37" t="s">
        <v>81</v>
      </c>
      <c r="H119" s="173">
        <f>H120</f>
        <v>1</v>
      </c>
      <c r="I119" s="173">
        <f t="shared" si="42"/>
        <v>1</v>
      </c>
      <c r="J119" s="173">
        <f t="shared" si="42"/>
        <v>0</v>
      </c>
      <c r="K119" s="174">
        <f t="shared" si="29"/>
        <v>0</v>
      </c>
      <c r="M119" s="78">
        <f t="shared" si="25"/>
        <v>1000</v>
      </c>
      <c r="N119" s="78">
        <f t="shared" si="25"/>
        <v>1000</v>
      </c>
      <c r="O119" s="78">
        <f t="shared" si="22"/>
        <v>0</v>
      </c>
    </row>
    <row r="120" spans="1:15" ht="14.25" customHeight="1" x14ac:dyDescent="0.2">
      <c r="A120" s="34">
        <v>115</v>
      </c>
      <c r="B120" s="161" t="s">
        <v>56</v>
      </c>
      <c r="C120" s="162">
        <v>807</v>
      </c>
      <c r="D120" s="162" t="s">
        <v>28</v>
      </c>
      <c r="E120" s="162">
        <v>6400087000</v>
      </c>
      <c r="F120" s="162">
        <v>540</v>
      </c>
      <c r="G120" s="37" t="s">
        <v>81</v>
      </c>
      <c r="H120" s="173">
        <v>1</v>
      </c>
      <c r="I120" s="173">
        <v>1</v>
      </c>
      <c r="J120" s="173">
        <v>0</v>
      </c>
      <c r="K120" s="174">
        <f t="shared" si="29"/>
        <v>0</v>
      </c>
      <c r="M120" s="78">
        <f t="shared" si="25"/>
        <v>1000</v>
      </c>
      <c r="N120" s="78">
        <f t="shared" si="25"/>
        <v>1000</v>
      </c>
      <c r="O120" s="78">
        <f t="shared" si="22"/>
        <v>0</v>
      </c>
    </row>
    <row r="121" spans="1:15" ht="12.75" hidden="1" customHeight="1" x14ac:dyDescent="0.2">
      <c r="A121" s="34">
        <v>116</v>
      </c>
      <c r="B121" s="242" t="s">
        <v>188</v>
      </c>
      <c r="C121" s="38">
        <v>807</v>
      </c>
      <c r="D121" s="37" t="s">
        <v>107</v>
      </c>
      <c r="E121" s="37"/>
      <c r="F121" s="37"/>
      <c r="G121" s="37"/>
      <c r="H121" s="185">
        <f>H122</f>
        <v>0</v>
      </c>
      <c r="I121" s="163">
        <f t="shared" ref="I121:J123" si="43">I122</f>
        <v>0</v>
      </c>
      <c r="J121" s="163">
        <f t="shared" si="43"/>
        <v>0</v>
      </c>
      <c r="K121" s="174" t="e">
        <f t="shared" si="29"/>
        <v>#DIV/0!</v>
      </c>
      <c r="M121" s="78">
        <f t="shared" si="25"/>
        <v>0</v>
      </c>
      <c r="N121" s="78">
        <f t="shared" si="25"/>
        <v>0</v>
      </c>
      <c r="O121" s="78">
        <f t="shared" si="22"/>
        <v>0</v>
      </c>
    </row>
    <row r="122" spans="1:15" ht="12.75" hidden="1" customHeight="1" x14ac:dyDescent="0.2">
      <c r="A122" s="34">
        <v>117</v>
      </c>
      <c r="B122" s="50" t="s">
        <v>189</v>
      </c>
      <c r="C122" s="38">
        <v>807</v>
      </c>
      <c r="D122" s="37" t="s">
        <v>107</v>
      </c>
      <c r="E122" s="37"/>
      <c r="F122" s="37"/>
      <c r="G122" s="37"/>
      <c r="H122" s="185">
        <f>H123</f>
        <v>0</v>
      </c>
      <c r="I122" s="163">
        <f t="shared" si="43"/>
        <v>0</v>
      </c>
      <c r="J122" s="163">
        <f t="shared" si="43"/>
        <v>0</v>
      </c>
      <c r="K122" s="174" t="e">
        <f t="shared" si="29"/>
        <v>#DIV/0!</v>
      </c>
      <c r="M122" s="78">
        <f t="shared" si="25"/>
        <v>0</v>
      </c>
      <c r="N122" s="78">
        <f t="shared" si="25"/>
        <v>0</v>
      </c>
      <c r="O122" s="78">
        <f t="shared" si="22"/>
        <v>0</v>
      </c>
    </row>
    <row r="123" spans="1:15" ht="12.75" hidden="1" customHeight="1" x14ac:dyDescent="0.2">
      <c r="A123" s="34">
        <v>118</v>
      </c>
      <c r="B123" s="242" t="s">
        <v>145</v>
      </c>
      <c r="C123" s="38">
        <v>807</v>
      </c>
      <c r="D123" s="37" t="s">
        <v>107</v>
      </c>
      <c r="E123" s="37" t="s">
        <v>191</v>
      </c>
      <c r="F123" s="37" t="s">
        <v>192</v>
      </c>
      <c r="G123" s="37"/>
      <c r="H123" s="185">
        <f>H124</f>
        <v>0</v>
      </c>
      <c r="I123" s="163">
        <f t="shared" si="43"/>
        <v>0</v>
      </c>
      <c r="J123" s="163">
        <f t="shared" si="43"/>
        <v>0</v>
      </c>
      <c r="K123" s="174" t="e">
        <f t="shared" si="29"/>
        <v>#DIV/0!</v>
      </c>
      <c r="M123" s="78">
        <f t="shared" si="25"/>
        <v>0</v>
      </c>
      <c r="N123" s="78">
        <f t="shared" si="25"/>
        <v>0</v>
      </c>
      <c r="O123" s="78">
        <f t="shared" si="22"/>
        <v>0</v>
      </c>
    </row>
    <row r="124" spans="1:15" ht="12.75" hidden="1" customHeight="1" x14ac:dyDescent="0.2">
      <c r="A124" s="34">
        <v>119</v>
      </c>
      <c r="B124" s="242" t="s">
        <v>190</v>
      </c>
      <c r="C124" s="38">
        <v>807</v>
      </c>
      <c r="D124" s="37" t="s">
        <v>107</v>
      </c>
      <c r="E124" s="37" t="s">
        <v>191</v>
      </c>
      <c r="F124" s="37" t="s">
        <v>193</v>
      </c>
      <c r="G124" s="37" t="s">
        <v>194</v>
      </c>
      <c r="H124" s="185">
        <v>0</v>
      </c>
      <c r="I124" s="163">
        <v>0</v>
      </c>
      <c r="J124" s="163">
        <v>0</v>
      </c>
      <c r="K124" s="174" t="e">
        <f t="shared" si="29"/>
        <v>#DIV/0!</v>
      </c>
      <c r="M124" s="78">
        <f t="shared" si="25"/>
        <v>0</v>
      </c>
      <c r="N124" s="78">
        <f t="shared" si="25"/>
        <v>0</v>
      </c>
      <c r="O124" s="78">
        <f t="shared" si="22"/>
        <v>0</v>
      </c>
    </row>
    <row r="125" spans="1:15" ht="13.5" x14ac:dyDescent="0.2">
      <c r="A125" s="34">
        <v>120</v>
      </c>
      <c r="B125" s="158" t="s">
        <v>241</v>
      </c>
      <c r="C125" s="159">
        <v>807</v>
      </c>
      <c r="D125" s="159">
        <v>1000</v>
      </c>
      <c r="E125" s="159" t="s">
        <v>155</v>
      </c>
      <c r="F125" s="159" t="s">
        <v>155</v>
      </c>
      <c r="G125" s="37"/>
      <c r="H125" s="184">
        <f>H126+H132</f>
        <v>60</v>
      </c>
      <c r="I125" s="184">
        <f t="shared" ref="I125:J125" si="44">I126+I132</f>
        <v>60</v>
      </c>
      <c r="J125" s="184">
        <f t="shared" si="44"/>
        <v>10</v>
      </c>
      <c r="K125" s="174">
        <f t="shared" si="29"/>
        <v>16.666666666666664</v>
      </c>
      <c r="M125" s="78">
        <f t="shared" si="25"/>
        <v>60000</v>
      </c>
      <c r="N125" s="78">
        <f t="shared" si="25"/>
        <v>60000</v>
      </c>
      <c r="O125" s="78">
        <f t="shared" si="22"/>
        <v>10000</v>
      </c>
    </row>
    <row r="126" spans="1:15" ht="12.75" x14ac:dyDescent="0.2">
      <c r="A126" s="34">
        <v>121</v>
      </c>
      <c r="B126" s="161" t="s">
        <v>242</v>
      </c>
      <c r="C126" s="162">
        <v>807</v>
      </c>
      <c r="D126" s="162">
        <v>1001</v>
      </c>
      <c r="E126" s="162" t="s">
        <v>155</v>
      </c>
      <c r="F126" s="162" t="s">
        <v>155</v>
      </c>
      <c r="G126" s="37"/>
      <c r="H126" s="173">
        <f>H127</f>
        <v>60</v>
      </c>
      <c r="I126" s="173">
        <f t="shared" ref="I126:J126" si="45">I127</f>
        <v>60</v>
      </c>
      <c r="J126" s="173">
        <f t="shared" si="45"/>
        <v>10</v>
      </c>
      <c r="K126" s="174">
        <f t="shared" si="29"/>
        <v>16.666666666666664</v>
      </c>
      <c r="M126" s="78">
        <f t="shared" si="25"/>
        <v>60000</v>
      </c>
      <c r="N126" s="78">
        <f t="shared" si="25"/>
        <v>60000</v>
      </c>
      <c r="O126" s="78">
        <f t="shared" si="22"/>
        <v>10000</v>
      </c>
    </row>
    <row r="127" spans="1:15" ht="12.75" x14ac:dyDescent="0.2">
      <c r="A127" s="34">
        <v>122</v>
      </c>
      <c r="B127" s="66" t="s">
        <v>143</v>
      </c>
      <c r="C127" s="162">
        <v>807</v>
      </c>
      <c r="D127" s="162">
        <v>1001</v>
      </c>
      <c r="E127" s="162" t="s">
        <v>244</v>
      </c>
      <c r="F127" s="162" t="s">
        <v>155</v>
      </c>
      <c r="G127" s="37"/>
      <c r="H127" s="173">
        <f>SUM(H128)</f>
        <v>60</v>
      </c>
      <c r="I127" s="173">
        <f t="shared" ref="I127:J127" si="46">SUM(I128)</f>
        <v>60</v>
      </c>
      <c r="J127" s="173">
        <f t="shared" si="46"/>
        <v>10</v>
      </c>
      <c r="K127" s="174">
        <f t="shared" si="29"/>
        <v>16.666666666666664</v>
      </c>
      <c r="M127" s="78">
        <f t="shared" si="25"/>
        <v>60000</v>
      </c>
      <c r="N127" s="78"/>
      <c r="O127" s="78">
        <f t="shared" si="22"/>
        <v>10000</v>
      </c>
    </row>
    <row r="128" spans="1:15" ht="25.5" x14ac:dyDescent="0.2">
      <c r="A128" s="34">
        <v>123</v>
      </c>
      <c r="B128" s="161" t="s">
        <v>238</v>
      </c>
      <c r="C128" s="162">
        <v>807</v>
      </c>
      <c r="D128" s="162">
        <v>1001</v>
      </c>
      <c r="E128" s="162">
        <v>6300080000</v>
      </c>
      <c r="F128" s="162" t="s">
        <v>155</v>
      </c>
      <c r="G128" s="37"/>
      <c r="H128" s="173">
        <f>H129</f>
        <v>60</v>
      </c>
      <c r="I128" s="173">
        <f t="shared" ref="I128:J130" si="47">I129</f>
        <v>60</v>
      </c>
      <c r="J128" s="173">
        <f t="shared" si="47"/>
        <v>10</v>
      </c>
      <c r="K128" s="174">
        <f t="shared" si="29"/>
        <v>16.666666666666664</v>
      </c>
      <c r="M128" s="78">
        <f t="shared" si="25"/>
        <v>60000</v>
      </c>
      <c r="N128" s="78"/>
      <c r="O128" s="78">
        <f t="shared" si="22"/>
        <v>10000</v>
      </c>
    </row>
    <row r="129" spans="1:15" ht="12.75" x14ac:dyDescent="0.2">
      <c r="A129" s="34">
        <v>124</v>
      </c>
      <c r="B129" s="161" t="s">
        <v>239</v>
      </c>
      <c r="C129" s="162">
        <v>807</v>
      </c>
      <c r="D129" s="162">
        <v>1001</v>
      </c>
      <c r="E129" s="162">
        <v>6300080230</v>
      </c>
      <c r="F129" s="162" t="s">
        <v>155</v>
      </c>
      <c r="G129" s="37"/>
      <c r="H129" s="173">
        <f>H130</f>
        <v>60</v>
      </c>
      <c r="I129" s="173">
        <f t="shared" si="47"/>
        <v>60</v>
      </c>
      <c r="J129" s="173">
        <f t="shared" si="47"/>
        <v>10</v>
      </c>
      <c r="K129" s="174">
        <f t="shared" si="29"/>
        <v>16.666666666666664</v>
      </c>
      <c r="M129" s="78">
        <f t="shared" si="25"/>
        <v>60000</v>
      </c>
      <c r="N129" s="78"/>
      <c r="O129" s="78">
        <f t="shared" si="22"/>
        <v>10000</v>
      </c>
    </row>
    <row r="130" spans="1:15" ht="12.75" x14ac:dyDescent="0.2">
      <c r="A130" s="34">
        <v>125</v>
      </c>
      <c r="B130" s="161" t="s">
        <v>245</v>
      </c>
      <c r="C130" s="162">
        <v>807</v>
      </c>
      <c r="D130" s="162">
        <v>1001</v>
      </c>
      <c r="E130" s="162">
        <v>6300080230</v>
      </c>
      <c r="F130" s="162">
        <v>300</v>
      </c>
      <c r="G130" s="37" t="s">
        <v>263</v>
      </c>
      <c r="H130" s="173">
        <f>H131</f>
        <v>60</v>
      </c>
      <c r="I130" s="173">
        <f t="shared" si="47"/>
        <v>60</v>
      </c>
      <c r="J130" s="173">
        <f t="shared" si="47"/>
        <v>10</v>
      </c>
      <c r="K130" s="174">
        <f t="shared" si="29"/>
        <v>16.666666666666664</v>
      </c>
      <c r="M130" s="78">
        <f t="shared" si="25"/>
        <v>60000</v>
      </c>
      <c r="N130" s="78"/>
      <c r="O130" s="78">
        <f t="shared" si="22"/>
        <v>10000</v>
      </c>
    </row>
    <row r="131" spans="1:15" ht="12.75" x14ac:dyDescent="0.2">
      <c r="A131" s="34">
        <v>126</v>
      </c>
      <c r="B131" s="161" t="s">
        <v>240</v>
      </c>
      <c r="C131" s="162">
        <v>807</v>
      </c>
      <c r="D131" s="162">
        <v>1001</v>
      </c>
      <c r="E131" s="162">
        <v>6300080230</v>
      </c>
      <c r="F131" s="162">
        <v>312</v>
      </c>
      <c r="G131" s="37" t="s">
        <v>263</v>
      </c>
      <c r="H131" s="173">
        <v>60</v>
      </c>
      <c r="I131" s="173">
        <v>60</v>
      </c>
      <c r="J131" s="173">
        <v>10</v>
      </c>
      <c r="K131" s="174">
        <f t="shared" si="29"/>
        <v>16.666666666666664</v>
      </c>
      <c r="M131" s="78">
        <f t="shared" si="25"/>
        <v>60000</v>
      </c>
      <c r="N131" s="78"/>
      <c r="O131" s="78">
        <f t="shared" si="22"/>
        <v>10000</v>
      </c>
    </row>
    <row r="132" spans="1:15" s="197" customFormat="1" ht="12.75" x14ac:dyDescent="0.2">
      <c r="A132" s="34">
        <v>127</v>
      </c>
      <c r="B132" s="242" t="s">
        <v>395</v>
      </c>
      <c r="C132" s="162">
        <v>807</v>
      </c>
      <c r="D132" s="162">
        <v>1003</v>
      </c>
      <c r="E132" s="162" t="s">
        <v>155</v>
      </c>
      <c r="F132" s="162" t="s">
        <v>155</v>
      </c>
      <c r="G132" s="37"/>
      <c r="H132" s="173">
        <f>H133</f>
        <v>0</v>
      </c>
      <c r="I132" s="173">
        <f t="shared" ref="I132:J132" si="48">I133</f>
        <v>0</v>
      </c>
      <c r="J132" s="173">
        <f t="shared" si="48"/>
        <v>0</v>
      </c>
      <c r="K132" s="174">
        <v>0</v>
      </c>
      <c r="M132" s="78"/>
      <c r="N132" s="78"/>
      <c r="O132" s="78"/>
    </row>
    <row r="133" spans="1:15" s="197" customFormat="1" ht="12.75" x14ac:dyDescent="0.2">
      <c r="A133" s="34">
        <v>128</v>
      </c>
      <c r="B133" s="66" t="s">
        <v>143</v>
      </c>
      <c r="C133" s="162">
        <v>807</v>
      </c>
      <c r="D133" s="162">
        <v>1003</v>
      </c>
      <c r="E133" s="162" t="s">
        <v>214</v>
      </c>
      <c r="F133" s="162" t="s">
        <v>155</v>
      </c>
      <c r="G133" s="37"/>
      <c r="H133" s="173">
        <f>SUM(H134)</f>
        <v>0</v>
      </c>
      <c r="I133" s="173">
        <f t="shared" ref="I133:J133" si="49">SUM(I134)</f>
        <v>0</v>
      </c>
      <c r="J133" s="173">
        <f t="shared" si="49"/>
        <v>0</v>
      </c>
      <c r="K133" s="174">
        <v>0</v>
      </c>
      <c r="M133" s="78"/>
      <c r="N133" s="78"/>
      <c r="O133" s="78"/>
    </row>
    <row r="134" spans="1:15" s="197" customFormat="1" ht="12.75" x14ac:dyDescent="0.2">
      <c r="A134" s="34">
        <v>129</v>
      </c>
      <c r="B134" s="242" t="s">
        <v>398</v>
      </c>
      <c r="C134" s="162">
        <v>807</v>
      </c>
      <c r="D134" s="162">
        <v>1003</v>
      </c>
      <c r="E134" s="162">
        <v>6400091190</v>
      </c>
      <c r="F134" s="162" t="s">
        <v>155</v>
      </c>
      <c r="G134" s="37"/>
      <c r="H134" s="173">
        <f>H135</f>
        <v>0</v>
      </c>
      <c r="I134" s="173">
        <f t="shared" ref="I134:J134" si="50">I135</f>
        <v>0</v>
      </c>
      <c r="J134" s="173">
        <f t="shared" si="50"/>
        <v>0</v>
      </c>
      <c r="K134" s="174">
        <v>0</v>
      </c>
      <c r="M134" s="78"/>
      <c r="N134" s="78"/>
      <c r="O134" s="78"/>
    </row>
    <row r="135" spans="1:15" s="197" customFormat="1" ht="12.75" x14ac:dyDescent="0.2">
      <c r="A135" s="34">
        <v>130</v>
      </c>
      <c r="B135" s="242" t="s">
        <v>245</v>
      </c>
      <c r="C135" s="162">
        <v>807</v>
      </c>
      <c r="D135" s="162">
        <v>1003</v>
      </c>
      <c r="E135" s="162">
        <v>6400091190</v>
      </c>
      <c r="F135" s="162">
        <v>300</v>
      </c>
      <c r="G135" s="37" t="s">
        <v>194</v>
      </c>
      <c r="H135" s="173">
        <f>H136</f>
        <v>0</v>
      </c>
      <c r="I135" s="173">
        <f t="shared" ref="I135:J135" si="51">I136</f>
        <v>0</v>
      </c>
      <c r="J135" s="173">
        <f t="shared" si="51"/>
        <v>0</v>
      </c>
      <c r="K135" s="174">
        <v>0</v>
      </c>
      <c r="M135" s="78"/>
      <c r="N135" s="78"/>
      <c r="O135" s="78"/>
    </row>
    <row r="136" spans="1:15" s="197" customFormat="1" ht="13.5" thickBot="1" x14ac:dyDescent="0.25">
      <c r="A136" s="253">
        <v>131</v>
      </c>
      <c r="B136" s="254" t="s">
        <v>189</v>
      </c>
      <c r="C136" s="255">
        <v>807</v>
      </c>
      <c r="D136" s="255">
        <v>1003</v>
      </c>
      <c r="E136" s="255">
        <v>6400091190</v>
      </c>
      <c r="F136" s="255">
        <v>321</v>
      </c>
      <c r="G136" s="256" t="s">
        <v>194</v>
      </c>
      <c r="H136" s="257">
        <v>0</v>
      </c>
      <c r="I136" s="257">
        <v>0</v>
      </c>
      <c r="J136" s="257">
        <v>0</v>
      </c>
      <c r="K136" s="258">
        <v>0</v>
      </c>
      <c r="M136" s="78"/>
      <c r="N136" s="78"/>
      <c r="O136" s="78"/>
    </row>
    <row r="137" spans="1:15" ht="13.5" thickBot="1" x14ac:dyDescent="0.25">
      <c r="A137" s="308" t="s">
        <v>10</v>
      </c>
      <c r="B137" s="309"/>
      <c r="C137" s="309"/>
      <c r="D137" s="309"/>
      <c r="E137" s="309"/>
      <c r="F137" s="309"/>
      <c r="G137" s="310"/>
      <c r="H137" s="251">
        <f>H114+H9+H125</f>
        <v>10954.555999999999</v>
      </c>
      <c r="I137" s="251">
        <f>I114+I9+I125</f>
        <v>11783.596949999997</v>
      </c>
      <c r="J137" s="251">
        <f t="shared" ref="I137:J137" si="52">J114+J9+J125</f>
        <v>2375.86652</v>
      </c>
      <c r="K137" s="252">
        <f>J137/I137*100</f>
        <v>20.162489688685429</v>
      </c>
      <c r="M137" s="78">
        <f t="shared" si="25"/>
        <v>10954555.999999998</v>
      </c>
      <c r="N137" s="78">
        <f t="shared" si="25"/>
        <v>11783596.949999997</v>
      </c>
      <c r="O137" s="78">
        <f t="shared" si="22"/>
        <v>2375866.52</v>
      </c>
    </row>
    <row r="139" spans="1:15" x14ac:dyDescent="0.25">
      <c r="H139" s="72"/>
      <c r="I139" s="71"/>
      <c r="J139" s="71"/>
    </row>
    <row r="140" spans="1:15" x14ac:dyDescent="0.25">
      <c r="H140" s="77">
        <f>H137*1000</f>
        <v>10954555.999999998</v>
      </c>
      <c r="I140" s="77">
        <f>I137*1000</f>
        <v>11783596.949999997</v>
      </c>
      <c r="J140" s="77">
        <f>J137*1000</f>
        <v>2375866.52</v>
      </c>
    </row>
    <row r="141" spans="1:15" x14ac:dyDescent="0.25">
      <c r="H141" s="78">
        <f>H140-Пр.3!K50</f>
        <v>0</v>
      </c>
      <c r="I141" s="18">
        <f>I140-11783596.95</f>
        <v>0</v>
      </c>
      <c r="J141" s="78">
        <f>J140-2375866.52</f>
        <v>0</v>
      </c>
    </row>
    <row r="142" spans="1:15" x14ac:dyDescent="0.25">
      <c r="H142" s="68"/>
      <c r="I142" s="68"/>
      <c r="J142" s="68"/>
    </row>
    <row r="143" spans="1:15" x14ac:dyDescent="0.25">
      <c r="H143" s="68"/>
      <c r="I143" s="78"/>
    </row>
    <row r="144" spans="1:15" x14ac:dyDescent="0.25">
      <c r="H144" s="18"/>
      <c r="I144" s="18"/>
    </row>
    <row r="146" spans="8:10" x14ac:dyDescent="0.25">
      <c r="H146" s="68"/>
      <c r="I146" s="68"/>
      <c r="J146" s="68"/>
    </row>
    <row r="147" spans="8:10" x14ac:dyDescent="0.25">
      <c r="H147" s="68"/>
      <c r="I147" s="68"/>
      <c r="J147" s="68"/>
    </row>
  </sheetData>
  <mergeCells count="6">
    <mergeCell ref="A137:G137"/>
    <mergeCell ref="F1:K1"/>
    <mergeCell ref="B2:K2"/>
    <mergeCell ref="E3:K3"/>
    <mergeCell ref="A5:K5"/>
    <mergeCell ref="A6:N6"/>
  </mergeCells>
  <pageMargins left="0.39370078740157483" right="0.15748031496062992" top="0.35433070866141736" bottom="0.15748031496062992" header="0.27559055118110237" footer="0.15748031496062992"/>
  <pageSetup paperSize="9" scale="83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37"/>
  <sheetViews>
    <sheetView zoomScaleSheetLayoutView="80" workbookViewId="0">
      <selection activeCell="C8" sqref="C8"/>
    </sheetView>
  </sheetViews>
  <sheetFormatPr defaultRowHeight="12.75" x14ac:dyDescent="0.2"/>
  <cols>
    <col min="2" max="2" width="57.42578125" customWidth="1"/>
    <col min="4" max="4" width="15.28515625" customWidth="1"/>
    <col min="5" max="5" width="15.140625" customWidth="1"/>
    <col min="6" max="6" width="13.7109375" customWidth="1"/>
    <col min="7" max="7" width="11.5703125" customWidth="1"/>
    <col min="9" max="9" width="12.7109375" bestFit="1" customWidth="1"/>
    <col min="10" max="10" width="16" customWidth="1"/>
  </cols>
  <sheetData>
    <row r="1" spans="1:14" ht="15.75" x14ac:dyDescent="0.25">
      <c r="B1" s="302" t="s">
        <v>475</v>
      </c>
      <c r="C1" s="302"/>
      <c r="D1" s="302"/>
      <c r="E1" s="303"/>
      <c r="F1" s="303"/>
      <c r="G1" s="303"/>
      <c r="H1" s="9"/>
      <c r="I1" s="302"/>
      <c r="J1" s="302"/>
      <c r="K1" s="302"/>
      <c r="L1" s="303"/>
      <c r="M1" s="303"/>
      <c r="N1" s="303"/>
    </row>
    <row r="2" spans="1:14" ht="15.75" x14ac:dyDescent="0.25">
      <c r="B2" s="283" t="s">
        <v>437</v>
      </c>
      <c r="C2" s="283"/>
      <c r="D2" s="283"/>
      <c r="E2" s="283"/>
      <c r="F2" s="283"/>
      <c r="G2" s="283"/>
      <c r="H2" s="84"/>
      <c r="I2" s="84"/>
      <c r="J2" s="84"/>
      <c r="K2" s="84"/>
      <c r="L2" s="84"/>
      <c r="M2" s="84"/>
      <c r="N2" s="84"/>
    </row>
    <row r="3" spans="1:14" ht="15.75" x14ac:dyDescent="0.25">
      <c r="B3" s="283" t="s">
        <v>436</v>
      </c>
      <c r="C3" s="283"/>
      <c r="D3" s="283"/>
      <c r="E3" s="283"/>
      <c r="F3" s="283"/>
      <c r="G3" s="146"/>
      <c r="H3" s="303"/>
      <c r="I3" s="303"/>
      <c r="J3" s="303"/>
      <c r="K3" s="303"/>
      <c r="L3" s="303"/>
      <c r="M3" s="303"/>
      <c r="N3" s="303"/>
    </row>
    <row r="6" spans="1:14" ht="15.75" customHeight="1" x14ac:dyDescent="0.2">
      <c r="A6" s="315" t="s">
        <v>462</v>
      </c>
      <c r="B6" s="315"/>
      <c r="C6" s="315"/>
      <c r="D6" s="315"/>
      <c r="E6" s="315"/>
      <c r="F6" s="315"/>
      <c r="G6" s="320"/>
    </row>
    <row r="7" spans="1:14" ht="30.75" customHeight="1" x14ac:dyDescent="0.2">
      <c r="A7" s="315"/>
      <c r="B7" s="315"/>
      <c r="C7" s="315"/>
      <c r="D7" s="315"/>
      <c r="E7" s="315"/>
      <c r="F7" s="315"/>
      <c r="G7" s="320"/>
    </row>
    <row r="8" spans="1:14" ht="16.5" thickBot="1" x14ac:dyDescent="0.3">
      <c r="A8" s="16"/>
      <c r="B8" s="187"/>
      <c r="C8" s="9"/>
      <c r="D8" s="188"/>
      <c r="E8" s="188"/>
      <c r="G8" s="189" t="s">
        <v>281</v>
      </c>
    </row>
    <row r="9" spans="1:14" ht="51.75" thickBot="1" x14ac:dyDescent="0.25">
      <c r="A9" s="149" t="s">
        <v>53</v>
      </c>
      <c r="B9" s="150" t="s">
        <v>282</v>
      </c>
      <c r="C9" s="92" t="s">
        <v>283</v>
      </c>
      <c r="D9" s="169" t="s">
        <v>457</v>
      </c>
      <c r="E9" s="93" t="s">
        <v>458</v>
      </c>
      <c r="F9" s="170" t="s">
        <v>459</v>
      </c>
      <c r="G9" s="94" t="s">
        <v>280</v>
      </c>
    </row>
    <row r="10" spans="1:14" ht="13.5" thickBot="1" x14ac:dyDescent="0.25">
      <c r="A10" s="95"/>
      <c r="B10" s="190" t="s">
        <v>100</v>
      </c>
      <c r="C10" s="96" t="s">
        <v>127</v>
      </c>
      <c r="D10" s="97" t="s">
        <v>284</v>
      </c>
      <c r="E10" s="97" t="s">
        <v>285</v>
      </c>
      <c r="F10" s="97" t="s">
        <v>286</v>
      </c>
      <c r="G10" s="127" t="s">
        <v>292</v>
      </c>
    </row>
    <row r="11" spans="1:14" ht="13.5" thickBot="1" x14ac:dyDescent="0.25">
      <c r="A11" s="205">
        <v>1</v>
      </c>
      <c r="B11" s="206" t="s">
        <v>287</v>
      </c>
      <c r="C11" s="207" t="s">
        <v>24</v>
      </c>
      <c r="D11" s="208">
        <f>SUM(D12:D16)</f>
        <v>8592.2649999999994</v>
      </c>
      <c r="E11" s="208">
        <f>SUM(E12:E16)</f>
        <v>8699.86</v>
      </c>
      <c r="F11" s="208">
        <f>SUM(F12:F16)</f>
        <v>1855.54934</v>
      </c>
      <c r="G11" s="209">
        <f>F11/E11*100</f>
        <v>21.328496550519201</v>
      </c>
    </row>
    <row r="12" spans="1:14" ht="25.5" x14ac:dyDescent="0.2">
      <c r="A12" s="220">
        <v>2</v>
      </c>
      <c r="B12" s="221" t="s">
        <v>288</v>
      </c>
      <c r="C12" s="222" t="s">
        <v>25</v>
      </c>
      <c r="D12" s="223">
        <f>722.0736+218.06623+3+5</f>
        <v>948.13983000000007</v>
      </c>
      <c r="E12" s="223">
        <f>722.0736+218.06623+3+5</f>
        <v>948.13983000000007</v>
      </c>
      <c r="F12" s="223">
        <f>140.3456+36.34438</f>
        <v>176.68997999999999</v>
      </c>
      <c r="G12" s="191">
        <f t="shared" ref="G12:G32" si="0">F12/E12*100</f>
        <v>18.635434817668191</v>
      </c>
      <c r="I12" s="102">
        <f>E12*1000</f>
        <v>948139.83000000007</v>
      </c>
      <c r="J12" s="102">
        <f>F12*1000</f>
        <v>176689.97999999998</v>
      </c>
    </row>
    <row r="13" spans="1:14" ht="42" customHeight="1" x14ac:dyDescent="0.2">
      <c r="A13" s="224">
        <v>3</v>
      </c>
      <c r="B13" s="168" t="s">
        <v>19</v>
      </c>
      <c r="C13" s="213" t="s">
        <v>26</v>
      </c>
      <c r="D13" s="98">
        <f>601.728+181.72186</f>
        <v>783.44985999999994</v>
      </c>
      <c r="E13" s="98">
        <f>601.728+181.72186</f>
        <v>783.44985999999994</v>
      </c>
      <c r="F13" s="98">
        <f>130.3168+33.31567</f>
        <v>163.63247000000001</v>
      </c>
      <c r="G13" s="192">
        <f t="shared" si="0"/>
        <v>20.886144519829262</v>
      </c>
      <c r="I13" s="102">
        <f t="shared" ref="I13:I32" si="1">E13*1000</f>
        <v>783449.86</v>
      </c>
      <c r="J13" s="102">
        <f t="shared" ref="J13:J32" si="2">F13*1000</f>
        <v>163632.47</v>
      </c>
    </row>
    <row r="14" spans="1:14" ht="38.25" x14ac:dyDescent="0.2">
      <c r="A14" s="224">
        <v>4</v>
      </c>
      <c r="B14" s="168" t="s">
        <v>20</v>
      </c>
      <c r="C14" s="213" t="s">
        <v>27</v>
      </c>
      <c r="D14" s="98">
        <f>(2989246.23+902752.36+51020+31776.62+900000+35500+17700+6200+2942+180212.25+90737)/1000</f>
        <v>5208.0864599999995</v>
      </c>
      <c r="E14" s="98">
        <f>(2982890.67+6355.56+902752.36+15799+4771+900000+52720+31776.62+35500+17700+7200+29999+230213.25+2942+90737)/1000</f>
        <v>5311.35646</v>
      </c>
      <c r="F14" s="98">
        <f>485.49605+6.35556+126.38443+3.512+1.062+376.23407+15.2356+3.61402+4.2+1.60752+29.999+95.34-2+2.499+45.3685</f>
        <v>1194.9077499999999</v>
      </c>
      <c r="G14" s="192">
        <f t="shared" si="0"/>
        <v>22.497223807117624</v>
      </c>
      <c r="I14" s="102">
        <f t="shared" si="1"/>
        <v>5311356.46</v>
      </c>
      <c r="J14" s="102">
        <f t="shared" si="2"/>
        <v>1194907.7499999998</v>
      </c>
    </row>
    <row r="15" spans="1:14" x14ac:dyDescent="0.2">
      <c r="A15" s="224">
        <v>5</v>
      </c>
      <c r="B15" s="168" t="s">
        <v>218</v>
      </c>
      <c r="C15" s="213" t="s">
        <v>219</v>
      </c>
      <c r="D15" s="98">
        <v>10</v>
      </c>
      <c r="E15" s="98">
        <v>10</v>
      </c>
      <c r="F15" s="98">
        <v>0</v>
      </c>
      <c r="G15" s="192">
        <f t="shared" si="0"/>
        <v>0</v>
      </c>
      <c r="I15" s="102">
        <f t="shared" si="1"/>
        <v>10000</v>
      </c>
      <c r="J15" s="102">
        <f t="shared" si="2"/>
        <v>0</v>
      </c>
    </row>
    <row r="16" spans="1:14" x14ac:dyDescent="0.2">
      <c r="A16" s="224">
        <v>6</v>
      </c>
      <c r="B16" s="168" t="s">
        <v>144</v>
      </c>
      <c r="C16" s="213" t="s">
        <v>57</v>
      </c>
      <c r="D16" s="98">
        <f>(1074304.8+324440.05+55476+6000+148947+19500+13921)/1000</f>
        <v>1642.5888500000001</v>
      </c>
      <c r="E16" s="98">
        <f>(1072660.11+1644.69+324440.05+60801+6000+148947+18500+13921)/1000</f>
        <v>1646.9138500000001</v>
      </c>
      <c r="F16" s="98">
        <f>228.13474+1.64469+57.72271+12.85+19.967</f>
        <v>320.31914</v>
      </c>
      <c r="G16" s="192">
        <f t="shared" si="0"/>
        <v>19.449659737818102</v>
      </c>
      <c r="I16" s="102">
        <f t="shared" si="1"/>
        <v>1646913.85</v>
      </c>
      <c r="J16" s="102">
        <f t="shared" si="2"/>
        <v>320319.14</v>
      </c>
    </row>
    <row r="17" spans="1:10" x14ac:dyDescent="0.2">
      <c r="A17" s="224">
        <v>7</v>
      </c>
      <c r="B17" s="214" t="s">
        <v>146</v>
      </c>
      <c r="C17" s="215" t="s">
        <v>147</v>
      </c>
      <c r="D17" s="91">
        <f>D18</f>
        <v>432</v>
      </c>
      <c r="E17" s="91">
        <f>E18</f>
        <v>424.14</v>
      </c>
      <c r="F17" s="91">
        <f>F18</f>
        <v>58.05818</v>
      </c>
      <c r="G17" s="192">
        <f t="shared" si="0"/>
        <v>13.688447210826615</v>
      </c>
      <c r="I17" s="102">
        <f t="shared" si="1"/>
        <v>424140</v>
      </c>
      <c r="J17" s="102">
        <f t="shared" si="2"/>
        <v>58058.18</v>
      </c>
    </row>
    <row r="18" spans="1:10" x14ac:dyDescent="0.2">
      <c r="A18" s="224">
        <v>8</v>
      </c>
      <c r="B18" s="168" t="s">
        <v>148</v>
      </c>
      <c r="C18" s="213" t="s">
        <v>29</v>
      </c>
      <c r="D18" s="98">
        <f>432</f>
        <v>432</v>
      </c>
      <c r="E18" s="98">
        <f>(293923.2+88764.81+7800+1000+27640+5011.99)/1000</f>
        <v>424.14</v>
      </c>
      <c r="F18" s="98">
        <f>45.0251+11.45988+1.5732</f>
        <v>58.05818</v>
      </c>
      <c r="G18" s="192">
        <f t="shared" si="0"/>
        <v>13.688447210826615</v>
      </c>
      <c r="I18" s="102">
        <f t="shared" si="1"/>
        <v>424140</v>
      </c>
      <c r="J18" s="102">
        <f t="shared" si="2"/>
        <v>58058.18</v>
      </c>
    </row>
    <row r="19" spans="1:10" ht="25.5" x14ac:dyDescent="0.2">
      <c r="A19" s="224">
        <v>9</v>
      </c>
      <c r="B19" s="89" t="s">
        <v>186</v>
      </c>
      <c r="C19" s="216" t="s">
        <v>195</v>
      </c>
      <c r="D19" s="99">
        <f>D21+D20</f>
        <v>23</v>
      </c>
      <c r="E19" s="99">
        <f>E21+E20</f>
        <v>249</v>
      </c>
      <c r="F19" s="99">
        <f t="shared" ref="F19" si="3">F21+F20</f>
        <v>0</v>
      </c>
      <c r="G19" s="192">
        <f t="shared" si="0"/>
        <v>0</v>
      </c>
      <c r="I19" s="102">
        <f t="shared" si="1"/>
        <v>249000</v>
      </c>
      <c r="J19" s="102">
        <f t="shared" si="2"/>
        <v>0</v>
      </c>
    </row>
    <row r="20" spans="1:10" x14ac:dyDescent="0.2">
      <c r="A20" s="224">
        <v>10</v>
      </c>
      <c r="B20" s="90" t="s">
        <v>289</v>
      </c>
      <c r="C20" s="217" t="s">
        <v>187</v>
      </c>
      <c r="D20" s="100">
        <v>0</v>
      </c>
      <c r="E20" s="100">
        <v>226</v>
      </c>
      <c r="F20" s="100">
        <v>0</v>
      </c>
      <c r="G20" s="192">
        <f t="shared" si="0"/>
        <v>0</v>
      </c>
      <c r="I20" s="102">
        <f t="shared" si="1"/>
        <v>226000</v>
      </c>
      <c r="J20" s="102">
        <f t="shared" si="2"/>
        <v>0</v>
      </c>
    </row>
    <row r="21" spans="1:10" ht="25.5" x14ac:dyDescent="0.2">
      <c r="A21" s="224">
        <v>11</v>
      </c>
      <c r="B21" s="196" t="s">
        <v>232</v>
      </c>
      <c r="C21" s="218" t="s">
        <v>233</v>
      </c>
      <c r="D21" s="98">
        <v>23</v>
      </c>
      <c r="E21" s="98">
        <v>23</v>
      </c>
      <c r="F21" s="98">
        <v>0</v>
      </c>
      <c r="G21" s="192">
        <f t="shared" si="0"/>
        <v>0</v>
      </c>
      <c r="I21" s="102">
        <f t="shared" si="1"/>
        <v>23000</v>
      </c>
      <c r="J21" s="102">
        <f t="shared" si="2"/>
        <v>0</v>
      </c>
    </row>
    <row r="22" spans="1:10" x14ac:dyDescent="0.2">
      <c r="A22" s="224">
        <v>12</v>
      </c>
      <c r="B22" s="214" t="s">
        <v>149</v>
      </c>
      <c r="C22" s="215" t="s">
        <v>150</v>
      </c>
      <c r="D22" s="91">
        <f>D23+D24</f>
        <v>798.29100000000005</v>
      </c>
      <c r="E22" s="91">
        <f>E23+E24</f>
        <v>813.85866999999996</v>
      </c>
      <c r="F22" s="91">
        <f t="shared" ref="F22" si="4">F23+F24</f>
        <v>80.68656</v>
      </c>
      <c r="G22" s="192">
        <f t="shared" si="0"/>
        <v>9.9140751305137531</v>
      </c>
      <c r="I22" s="102">
        <f t="shared" si="1"/>
        <v>813858.66999999993</v>
      </c>
      <c r="J22" s="102">
        <f t="shared" si="2"/>
        <v>80686.559999999998</v>
      </c>
    </row>
    <row r="23" spans="1:10" x14ac:dyDescent="0.2">
      <c r="A23" s="224">
        <v>13</v>
      </c>
      <c r="B23" s="168" t="s">
        <v>151</v>
      </c>
      <c r="C23" s="213" t="s">
        <v>58</v>
      </c>
      <c r="D23" s="70">
        <f>695.2+103.091</f>
        <v>798.29100000000005</v>
      </c>
      <c r="E23" s="70">
        <f>710.76767+103.091</f>
        <v>813.85866999999996</v>
      </c>
      <c r="F23" s="70">
        <f>80.68656</f>
        <v>80.68656</v>
      </c>
      <c r="G23" s="192">
        <f t="shared" si="0"/>
        <v>9.9140751305137531</v>
      </c>
      <c r="I23" s="102">
        <f t="shared" si="1"/>
        <v>813858.66999999993</v>
      </c>
      <c r="J23" s="102">
        <f t="shared" si="2"/>
        <v>80686.559999999998</v>
      </c>
    </row>
    <row r="24" spans="1:10" x14ac:dyDescent="0.2">
      <c r="A24" s="224">
        <v>14</v>
      </c>
      <c r="B24" s="168" t="s">
        <v>266</v>
      </c>
      <c r="C24" s="219" t="s">
        <v>264</v>
      </c>
      <c r="D24" s="70">
        <v>0</v>
      </c>
      <c r="E24" s="70">
        <v>0</v>
      </c>
      <c r="F24" s="70">
        <v>0</v>
      </c>
      <c r="G24" s="192">
        <v>0</v>
      </c>
      <c r="I24" s="102">
        <f t="shared" si="1"/>
        <v>0</v>
      </c>
      <c r="J24" s="102">
        <f t="shared" si="2"/>
        <v>0</v>
      </c>
    </row>
    <row r="25" spans="1:10" x14ac:dyDescent="0.2">
      <c r="A25" s="224">
        <v>15</v>
      </c>
      <c r="B25" s="214" t="s">
        <v>152</v>
      </c>
      <c r="C25" s="215" t="s">
        <v>30</v>
      </c>
      <c r="D25" s="91">
        <f>D26</f>
        <v>1048</v>
      </c>
      <c r="E25" s="91">
        <f>E26</f>
        <v>1535.73828</v>
      </c>
      <c r="F25" s="91">
        <f t="shared" ref="F25" si="5">F26</f>
        <v>371.57243999999997</v>
      </c>
      <c r="G25" s="192">
        <f t="shared" si="0"/>
        <v>24.195036669920082</v>
      </c>
      <c r="I25" s="102">
        <f t="shared" si="1"/>
        <v>1535738.28</v>
      </c>
      <c r="J25" s="102">
        <f t="shared" si="2"/>
        <v>371572.43999999994</v>
      </c>
    </row>
    <row r="26" spans="1:10" x14ac:dyDescent="0.2">
      <c r="A26" s="224">
        <v>16</v>
      </c>
      <c r="B26" s="168" t="s">
        <v>153</v>
      </c>
      <c r="C26" s="213" t="s">
        <v>31</v>
      </c>
      <c r="D26" s="70">
        <v>1048</v>
      </c>
      <c r="E26" s="70">
        <f>700+667.73828+168</f>
        <v>1535.73828</v>
      </c>
      <c r="F26" s="98">
        <f>238.99897+100+32.57347</f>
        <v>371.57243999999997</v>
      </c>
      <c r="G26" s="192">
        <f t="shared" si="0"/>
        <v>24.195036669920082</v>
      </c>
      <c r="I26" s="102">
        <f t="shared" si="1"/>
        <v>1535738.28</v>
      </c>
      <c r="J26" s="102">
        <f t="shared" si="2"/>
        <v>371572.43999999994</v>
      </c>
    </row>
    <row r="27" spans="1:10" x14ac:dyDescent="0.2">
      <c r="A27" s="224">
        <v>17</v>
      </c>
      <c r="B27" s="214" t="s">
        <v>154</v>
      </c>
      <c r="C27" s="215" t="s">
        <v>226</v>
      </c>
      <c r="D27" s="91">
        <f>D28</f>
        <v>1</v>
      </c>
      <c r="E27" s="91">
        <f>E28</f>
        <v>1</v>
      </c>
      <c r="F27" s="91">
        <f>F28</f>
        <v>0</v>
      </c>
      <c r="G27" s="192">
        <f t="shared" si="0"/>
        <v>0</v>
      </c>
      <c r="I27" s="102">
        <f t="shared" si="1"/>
        <v>1000</v>
      </c>
      <c r="J27" s="102">
        <f t="shared" si="2"/>
        <v>0</v>
      </c>
    </row>
    <row r="28" spans="1:10" x14ac:dyDescent="0.2">
      <c r="A28" s="224">
        <v>18</v>
      </c>
      <c r="B28" s="168" t="s">
        <v>212</v>
      </c>
      <c r="C28" s="213" t="s">
        <v>28</v>
      </c>
      <c r="D28" s="98">
        <v>1</v>
      </c>
      <c r="E28" s="98">
        <v>1</v>
      </c>
      <c r="F28" s="98">
        <v>0</v>
      </c>
      <c r="G28" s="192">
        <f t="shared" si="0"/>
        <v>0</v>
      </c>
      <c r="I28" s="102">
        <f t="shared" si="1"/>
        <v>1000</v>
      </c>
      <c r="J28" s="102">
        <f t="shared" si="2"/>
        <v>0</v>
      </c>
    </row>
    <row r="29" spans="1:10" x14ac:dyDescent="0.2">
      <c r="A29" s="224">
        <v>19</v>
      </c>
      <c r="B29" s="158" t="s">
        <v>290</v>
      </c>
      <c r="C29" s="215">
        <v>1000</v>
      </c>
      <c r="D29" s="91">
        <f>D30+D31</f>
        <v>60</v>
      </c>
      <c r="E29" s="91">
        <f>E30+E31</f>
        <v>60</v>
      </c>
      <c r="F29" s="91">
        <f t="shared" ref="F29" si="6">F30+F31</f>
        <v>10</v>
      </c>
      <c r="G29" s="192">
        <f t="shared" si="0"/>
        <v>16.666666666666664</v>
      </c>
      <c r="I29" s="102">
        <f t="shared" si="1"/>
        <v>60000</v>
      </c>
      <c r="J29" s="102">
        <f t="shared" si="2"/>
        <v>10000</v>
      </c>
    </row>
    <row r="30" spans="1:10" x14ac:dyDescent="0.2">
      <c r="A30" s="224">
        <v>20</v>
      </c>
      <c r="B30" s="161" t="s">
        <v>242</v>
      </c>
      <c r="C30" s="213">
        <v>1001</v>
      </c>
      <c r="D30" s="98">
        <v>60</v>
      </c>
      <c r="E30" s="98">
        <v>60</v>
      </c>
      <c r="F30" s="98">
        <v>10</v>
      </c>
      <c r="G30" s="192">
        <f t="shared" si="0"/>
        <v>16.666666666666664</v>
      </c>
      <c r="I30" s="102">
        <f t="shared" si="1"/>
        <v>60000</v>
      </c>
      <c r="J30" s="102">
        <f t="shared" si="2"/>
        <v>10000</v>
      </c>
    </row>
    <row r="31" spans="1:10" ht="13.5" thickBot="1" x14ac:dyDescent="0.25">
      <c r="A31" s="225">
        <v>21</v>
      </c>
      <c r="B31" s="186" t="s">
        <v>395</v>
      </c>
      <c r="C31" s="226">
        <v>1003</v>
      </c>
      <c r="D31" s="101">
        <v>0</v>
      </c>
      <c r="E31" s="101">
        <v>0</v>
      </c>
      <c r="F31" s="101">
        <v>0</v>
      </c>
      <c r="G31" s="227">
        <v>0</v>
      </c>
      <c r="I31" s="102">
        <f t="shared" si="1"/>
        <v>0</v>
      </c>
      <c r="J31" s="102">
        <f t="shared" si="2"/>
        <v>0</v>
      </c>
    </row>
    <row r="32" spans="1:10" ht="13.5" thickBot="1" x14ac:dyDescent="0.25">
      <c r="A32" s="313" t="s">
        <v>291</v>
      </c>
      <c r="B32" s="314"/>
      <c r="C32" s="210" t="s">
        <v>155</v>
      </c>
      <c r="D32" s="211">
        <f>D11+D17+D22+D25+D29+D19+D27</f>
        <v>10954.555999999999</v>
      </c>
      <c r="E32" s="211">
        <f>E11+E17+E22+E25+E29+E19+E27</f>
        <v>11783.596949999999</v>
      </c>
      <c r="F32" s="211">
        <f>F11+F17+F22+F25+F29+F19+F27</f>
        <v>2375.86652</v>
      </c>
      <c r="G32" s="212">
        <f t="shared" si="0"/>
        <v>20.162489688685426</v>
      </c>
      <c r="I32" s="102">
        <f t="shared" si="1"/>
        <v>11783596.949999999</v>
      </c>
      <c r="J32" s="102">
        <f t="shared" si="2"/>
        <v>2375866.52</v>
      </c>
    </row>
    <row r="35" spans="4:6" x14ac:dyDescent="0.2">
      <c r="D35" s="102">
        <f>D32*1000</f>
        <v>10954555.999999998</v>
      </c>
      <c r="E35" s="102">
        <f t="shared" ref="E35:F35" si="7">E32*1000</f>
        <v>11783596.949999999</v>
      </c>
      <c r="F35" s="102">
        <f t="shared" si="7"/>
        <v>2375866.52</v>
      </c>
    </row>
    <row r="37" spans="4:6" x14ac:dyDescent="0.2">
      <c r="D37" s="102">
        <f>12617301-D35</f>
        <v>1662745.0000000019</v>
      </c>
      <c r="E37" s="102">
        <f>E35-11783596.95</f>
        <v>0</v>
      </c>
      <c r="F37" s="102">
        <f>F35-2375866.52</f>
        <v>0</v>
      </c>
    </row>
  </sheetData>
  <mergeCells count="7">
    <mergeCell ref="I1:N1"/>
    <mergeCell ref="H3:N3"/>
    <mergeCell ref="A32:B32"/>
    <mergeCell ref="B1:G1"/>
    <mergeCell ref="B3:F3"/>
    <mergeCell ref="B2:G2"/>
    <mergeCell ref="A6:G7"/>
  </mergeCells>
  <pageMargins left="0.39370078740157483" right="0.19685039370078741" top="0.74803149606299213" bottom="0.74803149606299213" header="0.31496062992125984" footer="0.31496062992125984"/>
  <pageSetup paperSize="9" scale="68" orientation="portrait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1"/>
  <sheetViews>
    <sheetView workbookViewId="0">
      <selection activeCell="C16" sqref="C16"/>
    </sheetView>
  </sheetViews>
  <sheetFormatPr defaultRowHeight="12.75" x14ac:dyDescent="0.2"/>
  <cols>
    <col min="1" max="1" width="28.28515625" customWidth="1"/>
    <col min="2" max="2" width="42.28515625" customWidth="1"/>
    <col min="3" max="3" width="49.140625" customWidth="1"/>
  </cols>
  <sheetData>
    <row r="1" spans="1:10" ht="15.75" x14ac:dyDescent="0.25">
      <c r="B1" s="302" t="s">
        <v>440</v>
      </c>
      <c r="C1" s="302"/>
      <c r="D1" s="9"/>
      <c r="E1" s="302"/>
      <c r="F1" s="302"/>
      <c r="G1" s="302"/>
      <c r="H1" s="303"/>
      <c r="I1" s="303"/>
      <c r="J1" s="303"/>
    </row>
    <row r="2" spans="1:10" ht="15.75" x14ac:dyDescent="0.25">
      <c r="B2" s="283" t="s">
        <v>439</v>
      </c>
      <c r="C2" s="283"/>
      <c r="D2" s="128"/>
      <c r="E2" s="128"/>
      <c r="F2" s="128"/>
      <c r="G2" s="128"/>
      <c r="H2" s="128"/>
      <c r="I2" s="128"/>
      <c r="J2" s="128"/>
    </row>
    <row r="3" spans="1:10" ht="15.75" x14ac:dyDescent="0.25">
      <c r="B3" s="283" t="s">
        <v>438</v>
      </c>
      <c r="C3" s="283"/>
      <c r="D3" s="303"/>
      <c r="E3" s="303"/>
      <c r="F3" s="303"/>
      <c r="G3" s="303"/>
      <c r="H3" s="303"/>
      <c r="I3" s="303"/>
      <c r="J3" s="303"/>
    </row>
    <row r="6" spans="1:10" ht="15.75" customHeight="1" x14ac:dyDescent="0.2">
      <c r="A6" s="315" t="s">
        <v>463</v>
      </c>
      <c r="B6" s="315"/>
      <c r="C6" s="315"/>
    </row>
    <row r="7" spans="1:10" ht="32.25" customHeight="1" x14ac:dyDescent="0.2">
      <c r="A7" s="315"/>
      <c r="B7" s="315"/>
      <c r="C7" s="315"/>
    </row>
    <row r="8" spans="1:10" ht="16.5" thickBot="1" x14ac:dyDescent="0.25">
      <c r="A8" s="16"/>
      <c r="B8" s="187"/>
      <c r="C8" s="189" t="s">
        <v>281</v>
      </c>
    </row>
    <row r="9" spans="1:10" ht="48" thickBot="1" x14ac:dyDescent="0.25">
      <c r="A9" s="137" t="s">
        <v>464</v>
      </c>
      <c r="B9" s="138" t="s">
        <v>465</v>
      </c>
      <c r="C9" s="139" t="s">
        <v>466</v>
      </c>
    </row>
    <row r="10" spans="1:10" x14ac:dyDescent="0.2">
      <c r="A10" s="135" t="s">
        <v>100</v>
      </c>
      <c r="B10" s="193">
        <v>2</v>
      </c>
      <c r="C10" s="136" t="s">
        <v>284</v>
      </c>
    </row>
    <row r="11" spans="1:10" ht="16.5" thickBot="1" x14ac:dyDescent="0.25">
      <c r="A11" s="140">
        <v>10</v>
      </c>
      <c r="B11" s="141">
        <v>0</v>
      </c>
      <c r="C11" s="142">
        <v>10</v>
      </c>
    </row>
  </sheetData>
  <mergeCells count="6">
    <mergeCell ref="A6:C7"/>
    <mergeCell ref="B1:C1"/>
    <mergeCell ref="E1:J1"/>
    <mergeCell ref="B2:C2"/>
    <mergeCell ref="B3:C3"/>
    <mergeCell ref="D3:J3"/>
  </mergeCells>
  <pageMargins left="0.39370078740157483" right="0.19685039370078741" top="0.74803149606299213" bottom="0.74803149606299213" header="0.31496062992125984" footer="0.31496062992125984"/>
  <pageSetup paperSize="9" scale="7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Прилож 1</vt:lpstr>
      <vt:lpstr>Пр.2</vt:lpstr>
      <vt:lpstr>Пр.3</vt:lpstr>
      <vt:lpstr>Пр.4</vt:lpstr>
      <vt:lpstr>Пр.5</vt:lpstr>
      <vt:lpstr>Пр.6.</vt:lpstr>
      <vt:lpstr>Пр.7</vt:lpstr>
      <vt:lpstr>Пр.2!Область_печати</vt:lpstr>
      <vt:lpstr>Пр.3!Область_печати</vt:lpstr>
      <vt:lpstr>Пр.4!Область_печати</vt:lpstr>
      <vt:lpstr>Пр.5!Область_печати</vt:lpstr>
      <vt:lpstr>Пр.6.!Область_печати</vt:lpstr>
      <vt:lpstr>Пр.7!Область_печати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2022-04-19T09:13:50Z</cp:lastPrinted>
  <dcterms:created xsi:type="dcterms:W3CDTF">1996-10-08T23:32:33Z</dcterms:created>
  <dcterms:modified xsi:type="dcterms:W3CDTF">2022-04-19T09:19:02Z</dcterms:modified>
</cp:coreProperties>
</file>