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Решения сессии\2023 год\12 сессия\Решение  № 12-54 от 20.12.2023\"/>
    </mc:Choice>
  </mc:AlternateContent>
  <xr:revisionPtr revIDLastSave="0" documentId="13_ncr:1_{9F1D2AD1-D77D-47F6-AE8B-14CD18E58F8F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Прилож 1" sheetId="7" r:id="rId1"/>
    <sheet name="Пр.2" sheetId="9" r:id="rId2"/>
    <sheet name="Пр.3" sheetId="3" r:id="rId3"/>
    <sheet name="Пр.4" sheetId="4" r:id="rId4"/>
    <sheet name="Пр.5" sheetId="6" r:id="rId5"/>
    <sheet name="Пр.6." sheetId="8" r:id="rId6"/>
    <sheet name="Пр.7" sheetId="10" r:id="rId7"/>
  </sheets>
  <externalReferences>
    <externalReference r:id="rId8"/>
  </externalReferences>
  <definedNames>
    <definedName name="_xlnm.Print_Area" localSheetId="1">Пр.2!$A$1:$M$35</definedName>
    <definedName name="_xlnm.Print_Area" localSheetId="2">Пр.3!$A$1:$N$52</definedName>
    <definedName name="_xlnm.Print_Area" localSheetId="3">Пр.4!$A$1:$J$162</definedName>
    <definedName name="_xlnm.Print_Area" localSheetId="4">Пр.5!$A$1:$K$154</definedName>
    <definedName name="_xlnm.Print_Area" localSheetId="5">'Пр.6.'!$A$1:$G$33</definedName>
    <definedName name="_xlnm.Print_Area" localSheetId="6">Пр.7!$A$1:$C$11</definedName>
  </definedNames>
  <calcPr calcId="181029"/>
</workbook>
</file>

<file path=xl/calcChain.xml><?xml version="1.0" encoding="utf-8"?>
<calcChain xmlns="http://schemas.openxmlformats.org/spreadsheetml/2006/main">
  <c r="P34" i="9" l="1"/>
  <c r="Q34" i="9" s="1"/>
  <c r="N33" i="3" l="1"/>
  <c r="H97" i="4" l="1"/>
  <c r="H28" i="4"/>
  <c r="H35" i="4"/>
  <c r="H45" i="4"/>
  <c r="H49" i="4"/>
  <c r="H55" i="4"/>
  <c r="H59" i="4"/>
  <c r="H65" i="4"/>
  <c r="G65" i="4"/>
  <c r="H69" i="4"/>
  <c r="G69" i="4"/>
  <c r="H73" i="4"/>
  <c r="H77" i="4"/>
  <c r="G77" i="4"/>
  <c r="H101" i="4"/>
  <c r="G105" i="4"/>
  <c r="H105" i="4"/>
  <c r="H119" i="4"/>
  <c r="N90" i="6"/>
  <c r="O90" i="6"/>
  <c r="K90" i="6"/>
  <c r="M12" i="3" l="1"/>
  <c r="M24" i="3"/>
  <c r="M23" i="3"/>
  <c r="R12" i="3"/>
  <c r="F14" i="8"/>
  <c r="E14" i="8"/>
  <c r="F16" i="8"/>
  <c r="E16" i="8"/>
  <c r="F18" i="8"/>
  <c r="F23" i="8"/>
  <c r="E23" i="8"/>
  <c r="F26" i="8"/>
  <c r="E26" i="8"/>
  <c r="F13" i="8"/>
  <c r="F12" i="8"/>
  <c r="H85" i="4" l="1"/>
  <c r="G85" i="4"/>
  <c r="G73" i="4"/>
  <c r="I73" i="4"/>
  <c r="F72" i="4"/>
  <c r="F71" i="4" s="1"/>
  <c r="F70" i="4" s="1"/>
  <c r="G59" i="4"/>
  <c r="J59" i="4" s="1"/>
  <c r="I59" i="4"/>
  <c r="H58" i="4"/>
  <c r="H57" i="4" s="1"/>
  <c r="F58" i="4"/>
  <c r="F57" i="4" s="1"/>
  <c r="F56" i="4" s="1"/>
  <c r="G49" i="4"/>
  <c r="I49" i="4" s="1"/>
  <c r="H48" i="4"/>
  <c r="H47" i="4" s="1"/>
  <c r="H46" i="4" s="1"/>
  <c r="G48" i="4"/>
  <c r="F48" i="4"/>
  <c r="F47" i="4" s="1"/>
  <c r="F46" i="4" s="1"/>
  <c r="G28" i="4"/>
  <c r="G97" i="4"/>
  <c r="G101" i="4"/>
  <c r="J101" i="4" s="1"/>
  <c r="F100" i="4"/>
  <c r="F99" i="4" s="1"/>
  <c r="F98" i="4" s="1"/>
  <c r="H100" i="4"/>
  <c r="H99" i="4" s="1"/>
  <c r="J139" i="4"/>
  <c r="I139" i="4"/>
  <c r="H138" i="4"/>
  <c r="H137" i="4" s="1"/>
  <c r="H136" i="4" s="1"/>
  <c r="G138" i="4"/>
  <c r="G137" i="4" s="1"/>
  <c r="F138" i="4"/>
  <c r="F137" i="4" s="1"/>
  <c r="F136" i="4" s="1"/>
  <c r="I143" i="4"/>
  <c r="I142" i="4" s="1"/>
  <c r="I141" i="4" s="1"/>
  <c r="I140" i="4" s="1"/>
  <c r="H143" i="4"/>
  <c r="J57" i="6"/>
  <c r="J56" i="6" s="1"/>
  <c r="J55" i="6" s="1"/>
  <c r="N60" i="6"/>
  <c r="O60" i="6"/>
  <c r="N61" i="6"/>
  <c r="O61" i="6"/>
  <c r="I125" i="6"/>
  <c r="J125" i="6"/>
  <c r="K125" i="6" s="1"/>
  <c r="H125" i="6"/>
  <c r="J49" i="4" l="1"/>
  <c r="G58" i="4"/>
  <c r="G57" i="4" s="1"/>
  <c r="G56" i="4" s="1"/>
  <c r="I137" i="4"/>
  <c r="G136" i="4"/>
  <c r="I136" i="4" s="1"/>
  <c r="G72" i="4"/>
  <c r="G71" i="4" s="1"/>
  <c r="G70" i="4" s="1"/>
  <c r="J138" i="4"/>
  <c r="J73" i="4"/>
  <c r="H72" i="4"/>
  <c r="H56" i="4"/>
  <c r="J57" i="4"/>
  <c r="I57" i="4"/>
  <c r="I58" i="4"/>
  <c r="J48" i="4"/>
  <c r="I48" i="4"/>
  <c r="G47" i="4"/>
  <c r="G100" i="4"/>
  <c r="I100" i="4" s="1"/>
  <c r="H98" i="4"/>
  <c r="I101" i="4"/>
  <c r="J136" i="4"/>
  <c r="J137" i="4"/>
  <c r="I138" i="4"/>
  <c r="J58" i="4" l="1"/>
  <c r="J56" i="4"/>
  <c r="J72" i="4"/>
  <c r="H71" i="4"/>
  <c r="I72" i="4"/>
  <c r="I56" i="4"/>
  <c r="J100" i="4"/>
  <c r="G99" i="4"/>
  <c r="J99" i="4" s="1"/>
  <c r="G46" i="4"/>
  <c r="J47" i="4"/>
  <c r="I47" i="4"/>
  <c r="G98" i="4"/>
  <c r="I98" i="4" s="1"/>
  <c r="I99" i="4" l="1"/>
  <c r="H70" i="4"/>
  <c r="J71" i="4"/>
  <c r="I71" i="4"/>
  <c r="J46" i="4"/>
  <c r="I46" i="4"/>
  <c r="J98" i="4"/>
  <c r="J70" i="4" l="1"/>
  <c r="I70" i="4"/>
  <c r="K61" i="6" l="1"/>
  <c r="K60" i="6"/>
  <c r="K34" i="6"/>
  <c r="K33" i="6"/>
  <c r="I22" i="6"/>
  <c r="J22" i="6"/>
  <c r="H22" i="6"/>
  <c r="H13" i="6"/>
  <c r="H12" i="6" s="1"/>
  <c r="K26" i="6"/>
  <c r="K25" i="6"/>
  <c r="K17" i="6"/>
  <c r="K16" i="6"/>
  <c r="L43" i="3"/>
  <c r="M43" i="3"/>
  <c r="K43" i="3"/>
  <c r="N51" i="3"/>
  <c r="N50" i="3"/>
  <c r="E21" i="8"/>
  <c r="E13" i="8"/>
  <c r="E12" i="8"/>
  <c r="G119" i="4" l="1"/>
  <c r="G123" i="4"/>
  <c r="F123" i="4"/>
  <c r="F119" i="4"/>
  <c r="F105" i="4"/>
  <c r="F97" i="4"/>
  <c r="F85" i="4"/>
  <c r="F77" i="4"/>
  <c r="F65" i="4"/>
  <c r="G15" i="4"/>
  <c r="H15" i="4"/>
  <c r="F15" i="4"/>
  <c r="J103" i="6"/>
  <c r="I83" i="6"/>
  <c r="I57" i="6"/>
  <c r="I56" i="6" s="1"/>
  <c r="I55" i="6" s="1"/>
  <c r="J128" i="6"/>
  <c r="I128" i="6"/>
  <c r="K43" i="6"/>
  <c r="K44" i="6"/>
  <c r="K45" i="6"/>
  <c r="L21" i="3"/>
  <c r="K21" i="3"/>
  <c r="K13" i="3"/>
  <c r="K11" i="3" s="1"/>
  <c r="F11" i="8"/>
  <c r="E20" i="8"/>
  <c r="D20" i="8"/>
  <c r="E18" i="8"/>
  <c r="E17" i="8"/>
  <c r="E19" i="8"/>
  <c r="E22" i="8"/>
  <c r="E25" i="8"/>
  <c r="E28" i="8"/>
  <c r="E30" i="8"/>
  <c r="D23" i="8"/>
  <c r="D16" i="8"/>
  <c r="D14" i="8"/>
  <c r="D13" i="8"/>
  <c r="D12" i="8"/>
  <c r="J95" i="6" l="1"/>
  <c r="I115" i="6"/>
  <c r="I114" i="6" s="1"/>
  <c r="I28" i="6" l="1"/>
  <c r="I27" i="6" s="1"/>
  <c r="O14" i="6" l="1"/>
  <c r="O15" i="6"/>
  <c r="M18" i="6"/>
  <c r="N18" i="6"/>
  <c r="O18" i="6"/>
  <c r="M19" i="6"/>
  <c r="N19" i="6"/>
  <c r="O19" i="6"/>
  <c r="M23" i="6"/>
  <c r="N23" i="6"/>
  <c r="O23" i="6"/>
  <c r="M24" i="6"/>
  <c r="N24" i="6"/>
  <c r="O24" i="6"/>
  <c r="M29" i="6"/>
  <c r="N29" i="6"/>
  <c r="O29" i="6"/>
  <c r="M30" i="6"/>
  <c r="N30" i="6"/>
  <c r="O30" i="6"/>
  <c r="M31" i="6"/>
  <c r="N31" i="6"/>
  <c r="O31" i="6"/>
  <c r="M32" i="6"/>
  <c r="N32" i="6"/>
  <c r="O32" i="6"/>
  <c r="M35" i="6"/>
  <c r="N35" i="6"/>
  <c r="O35" i="6"/>
  <c r="P32" i="6" s="1"/>
  <c r="M36" i="6"/>
  <c r="N36" i="6"/>
  <c r="O36" i="6"/>
  <c r="M37" i="6"/>
  <c r="N37" i="6"/>
  <c r="O37" i="6"/>
  <c r="M38" i="6"/>
  <c r="N38" i="6"/>
  <c r="O38" i="6"/>
  <c r="M39" i="6"/>
  <c r="N39" i="6"/>
  <c r="O39" i="6"/>
  <c r="M40" i="6"/>
  <c r="N40" i="6"/>
  <c r="O40" i="6"/>
  <c r="M41" i="6"/>
  <c r="N41" i="6"/>
  <c r="O41" i="6"/>
  <c r="M42" i="6"/>
  <c r="N42" i="6"/>
  <c r="O42" i="6"/>
  <c r="M43" i="6"/>
  <c r="N43" i="6"/>
  <c r="O43" i="6"/>
  <c r="M44" i="6"/>
  <c r="N44" i="6"/>
  <c r="O44" i="6"/>
  <c r="M45" i="6"/>
  <c r="N45" i="6"/>
  <c r="O45" i="6"/>
  <c r="M46" i="6"/>
  <c r="N46" i="6"/>
  <c r="O46" i="6"/>
  <c r="M47" i="6"/>
  <c r="N47" i="6"/>
  <c r="O47" i="6"/>
  <c r="M48" i="6"/>
  <c r="N48" i="6"/>
  <c r="O48" i="6"/>
  <c r="M54" i="6"/>
  <c r="N54" i="6"/>
  <c r="O54" i="6"/>
  <c r="M58" i="6"/>
  <c r="N58" i="6"/>
  <c r="O58" i="6"/>
  <c r="M59" i="6"/>
  <c r="N59" i="6"/>
  <c r="O59" i="6"/>
  <c r="M62" i="6"/>
  <c r="N62" i="6"/>
  <c r="O62" i="6"/>
  <c r="M63" i="6"/>
  <c r="N63" i="6"/>
  <c r="O63" i="6"/>
  <c r="M64" i="6"/>
  <c r="N64" i="6"/>
  <c r="O64" i="6"/>
  <c r="M65" i="6"/>
  <c r="N65" i="6"/>
  <c r="O65" i="6"/>
  <c r="M66" i="6"/>
  <c r="N66" i="6"/>
  <c r="O66" i="6"/>
  <c r="M67" i="6"/>
  <c r="N67" i="6"/>
  <c r="O67" i="6"/>
  <c r="N68" i="6"/>
  <c r="O68" i="6"/>
  <c r="M69" i="6"/>
  <c r="N69" i="6"/>
  <c r="O69" i="6"/>
  <c r="M70" i="6"/>
  <c r="N70" i="6"/>
  <c r="O70" i="6"/>
  <c r="M73" i="6"/>
  <c r="N73" i="6"/>
  <c r="O73" i="6"/>
  <c r="M78" i="6"/>
  <c r="N78" i="6"/>
  <c r="O78" i="6"/>
  <c r="M79" i="6"/>
  <c r="N79" i="6"/>
  <c r="O79" i="6"/>
  <c r="M80" i="6"/>
  <c r="N80" i="6"/>
  <c r="O80" i="6"/>
  <c r="M81" i="6"/>
  <c r="N81" i="6"/>
  <c r="O81" i="6"/>
  <c r="M82" i="6"/>
  <c r="N82" i="6"/>
  <c r="O82" i="6"/>
  <c r="M83" i="6"/>
  <c r="N83" i="6"/>
  <c r="O83" i="6"/>
  <c r="M84" i="6"/>
  <c r="N84" i="6"/>
  <c r="O84" i="6"/>
  <c r="M88" i="6"/>
  <c r="N88" i="6"/>
  <c r="O88" i="6"/>
  <c r="M89" i="6"/>
  <c r="N89" i="6"/>
  <c r="O89" i="6"/>
  <c r="M91" i="6"/>
  <c r="N91" i="6"/>
  <c r="O91" i="6"/>
  <c r="M92" i="6"/>
  <c r="N92" i="6"/>
  <c r="O92" i="6"/>
  <c r="M93" i="6"/>
  <c r="N93" i="6"/>
  <c r="O93" i="6"/>
  <c r="M96" i="6"/>
  <c r="N96" i="6"/>
  <c r="O96" i="6"/>
  <c r="M99" i="6"/>
  <c r="N99" i="6"/>
  <c r="O99" i="6"/>
  <c r="M104" i="6"/>
  <c r="N104" i="6"/>
  <c r="O104" i="6"/>
  <c r="M105" i="6"/>
  <c r="N105" i="6"/>
  <c r="O105" i="6"/>
  <c r="M106" i="6"/>
  <c r="N106" i="6"/>
  <c r="O106" i="6"/>
  <c r="M107" i="6"/>
  <c r="N107" i="6"/>
  <c r="O107" i="6"/>
  <c r="M108" i="6"/>
  <c r="N108" i="6"/>
  <c r="O108" i="6"/>
  <c r="M111" i="6"/>
  <c r="N111" i="6"/>
  <c r="O111" i="6"/>
  <c r="M116" i="6"/>
  <c r="N116" i="6"/>
  <c r="O116" i="6"/>
  <c r="M117" i="6"/>
  <c r="N117" i="6"/>
  <c r="O117" i="6"/>
  <c r="M119" i="6"/>
  <c r="N119" i="6"/>
  <c r="O119" i="6"/>
  <c r="M120" i="6"/>
  <c r="N120" i="6"/>
  <c r="O120" i="6"/>
  <c r="M121" i="6"/>
  <c r="N121" i="6"/>
  <c r="O121" i="6"/>
  <c r="M123" i="6"/>
  <c r="N123" i="6"/>
  <c r="O123" i="6"/>
  <c r="M124" i="6"/>
  <c r="N124" i="6"/>
  <c r="O124" i="6"/>
  <c r="M130" i="6"/>
  <c r="N130" i="6"/>
  <c r="O130" i="6"/>
  <c r="M137" i="6"/>
  <c r="N137" i="6"/>
  <c r="O137" i="6"/>
  <c r="M141" i="6"/>
  <c r="N141" i="6"/>
  <c r="O141" i="6"/>
  <c r="M148" i="6"/>
  <c r="N148" i="6"/>
  <c r="O148" i="6"/>
  <c r="M153" i="6"/>
  <c r="N153" i="6"/>
  <c r="O153" i="6"/>
  <c r="L16" i="4"/>
  <c r="M16" i="4"/>
  <c r="N16" i="4"/>
  <c r="L17" i="4"/>
  <c r="M17" i="4"/>
  <c r="N17" i="4"/>
  <c r="L23" i="4"/>
  <c r="M23" i="4"/>
  <c r="N23" i="4"/>
  <c r="L28" i="4"/>
  <c r="M28" i="4"/>
  <c r="N28" i="4"/>
  <c r="L35" i="4"/>
  <c r="N35" i="4"/>
  <c r="L39" i="4"/>
  <c r="M39" i="4"/>
  <c r="N39" i="4"/>
  <c r="N45" i="4"/>
  <c r="N55" i="4"/>
  <c r="M65" i="4"/>
  <c r="N65" i="4"/>
  <c r="L69" i="4"/>
  <c r="M69" i="4"/>
  <c r="N69" i="4"/>
  <c r="M77" i="4"/>
  <c r="N77" i="4"/>
  <c r="L81" i="4"/>
  <c r="M81" i="4"/>
  <c r="N81" i="4"/>
  <c r="M85" i="4"/>
  <c r="N85" i="4"/>
  <c r="L91" i="4"/>
  <c r="M91" i="4"/>
  <c r="N91" i="4"/>
  <c r="M97" i="4"/>
  <c r="N97" i="4"/>
  <c r="M105" i="4"/>
  <c r="N105" i="4"/>
  <c r="L110" i="4"/>
  <c r="M110" i="4"/>
  <c r="N110" i="4"/>
  <c r="L113" i="4"/>
  <c r="M113" i="4"/>
  <c r="N113" i="4"/>
  <c r="M119" i="4"/>
  <c r="N119" i="4"/>
  <c r="M123" i="4"/>
  <c r="N123" i="4"/>
  <c r="L129" i="4"/>
  <c r="M129" i="4"/>
  <c r="N129" i="4"/>
  <c r="L135" i="4"/>
  <c r="M135" i="4"/>
  <c r="N135" i="4"/>
  <c r="L144" i="4"/>
  <c r="M144" i="4"/>
  <c r="N144" i="4"/>
  <c r="L150" i="4"/>
  <c r="M150" i="4"/>
  <c r="N150" i="4"/>
  <c r="L156" i="4"/>
  <c r="M156" i="4"/>
  <c r="N156" i="4"/>
  <c r="L161" i="4"/>
  <c r="M161" i="4"/>
  <c r="N161" i="4"/>
  <c r="J127" i="6"/>
  <c r="O127" i="6" s="1"/>
  <c r="I127" i="6"/>
  <c r="N127" i="6" s="1"/>
  <c r="H128" i="6"/>
  <c r="H127" i="6" s="1"/>
  <c r="M127" i="6" s="1"/>
  <c r="J144" i="4"/>
  <c r="H142" i="4"/>
  <c r="G143" i="4"/>
  <c r="M143" i="4" s="1"/>
  <c r="F143" i="4"/>
  <c r="L143" i="4" s="1"/>
  <c r="N142" i="4" l="1"/>
  <c r="H141" i="4"/>
  <c r="H140" i="4" s="1"/>
  <c r="P38" i="6"/>
  <c r="P58" i="6"/>
  <c r="F142" i="4"/>
  <c r="F141" i="4" s="1"/>
  <c r="F140" i="4" s="1"/>
  <c r="L140" i="4" s="1"/>
  <c r="M128" i="6"/>
  <c r="J143" i="4"/>
  <c r="O128" i="6"/>
  <c r="N128" i="6"/>
  <c r="N143" i="4"/>
  <c r="G142" i="4"/>
  <c r="M142" i="4" s="1"/>
  <c r="N141" i="4"/>
  <c r="N15" i="4"/>
  <c r="M45" i="4"/>
  <c r="L142" i="4" l="1"/>
  <c r="L141" i="4"/>
  <c r="J142" i="4"/>
  <c r="G141" i="4"/>
  <c r="M141" i="4" s="1"/>
  <c r="F25" i="8"/>
  <c r="G27" i="8"/>
  <c r="D25" i="8"/>
  <c r="N46" i="3"/>
  <c r="N47" i="3"/>
  <c r="N45" i="3"/>
  <c r="N140" i="4" l="1"/>
  <c r="J141" i="4"/>
  <c r="G140" i="4"/>
  <c r="J140" i="4" s="1"/>
  <c r="I16" i="4"/>
  <c r="I17" i="4"/>
  <c r="I23" i="4"/>
  <c r="I39" i="4"/>
  <c r="I81" i="4"/>
  <c r="I91" i="4"/>
  <c r="I110" i="4"/>
  <c r="I113" i="4"/>
  <c r="I129" i="4"/>
  <c r="I135" i="4"/>
  <c r="I150" i="4"/>
  <c r="I156" i="4"/>
  <c r="J16" i="4"/>
  <c r="J17" i="4"/>
  <c r="J23" i="4"/>
  <c r="J39" i="4"/>
  <c r="J81" i="4"/>
  <c r="J91" i="4"/>
  <c r="J110" i="4"/>
  <c r="J129" i="4"/>
  <c r="J135" i="4"/>
  <c r="J150" i="4"/>
  <c r="J156" i="4"/>
  <c r="L15" i="4"/>
  <c r="F14" i="4"/>
  <c r="L14" i="4" s="1"/>
  <c r="H14" i="4"/>
  <c r="N14" i="4" s="1"/>
  <c r="F134" i="4"/>
  <c r="J105" i="4"/>
  <c r="I105" i="4"/>
  <c r="J97" i="4"/>
  <c r="I97" i="4"/>
  <c r="J85" i="4"/>
  <c r="I85" i="4"/>
  <c r="J77" i="4"/>
  <c r="I77" i="4"/>
  <c r="J65" i="4"/>
  <c r="I65" i="4"/>
  <c r="J28" i="4"/>
  <c r="I28" i="4"/>
  <c r="K18" i="6"/>
  <c r="K19" i="6"/>
  <c r="K23" i="6"/>
  <c r="K24" i="6"/>
  <c r="K29" i="6"/>
  <c r="K30" i="6"/>
  <c r="K31" i="6"/>
  <c r="K32" i="6"/>
  <c r="K35" i="6"/>
  <c r="K37" i="6"/>
  <c r="K38" i="6"/>
  <c r="K39" i="6"/>
  <c r="K40" i="6"/>
  <c r="K41" i="6"/>
  <c r="K42" i="6"/>
  <c r="K47" i="6"/>
  <c r="K48" i="6"/>
  <c r="K54" i="6"/>
  <c r="K58" i="6"/>
  <c r="K59" i="6"/>
  <c r="K62" i="6"/>
  <c r="K63" i="6"/>
  <c r="K64" i="6"/>
  <c r="K65" i="6"/>
  <c r="K73" i="6"/>
  <c r="K78" i="6"/>
  <c r="K79" i="6"/>
  <c r="K80" i="6"/>
  <c r="K81" i="6"/>
  <c r="K88" i="6"/>
  <c r="K89" i="6"/>
  <c r="K96" i="6"/>
  <c r="K99" i="6"/>
  <c r="K104" i="6"/>
  <c r="K108" i="6"/>
  <c r="K116" i="6"/>
  <c r="K123" i="6"/>
  <c r="K137" i="6"/>
  <c r="K141" i="6"/>
  <c r="K148" i="6"/>
  <c r="N22" i="6"/>
  <c r="I87" i="6"/>
  <c r="H115" i="6"/>
  <c r="M115" i="6" s="1"/>
  <c r="I103" i="6"/>
  <c r="N103" i="6" s="1"/>
  <c r="O103" i="6"/>
  <c r="H103" i="6"/>
  <c r="J87" i="6"/>
  <c r="O87" i="6" s="1"/>
  <c r="H87" i="6"/>
  <c r="H114" i="6" l="1"/>
  <c r="I35" i="4"/>
  <c r="M35" i="4"/>
  <c r="F133" i="4"/>
  <c r="L134" i="4"/>
  <c r="J35" i="4"/>
  <c r="I55" i="4"/>
  <c r="M55" i="4"/>
  <c r="H102" i="6"/>
  <c r="M102" i="6" s="1"/>
  <c r="M103" i="6"/>
  <c r="H21" i="6"/>
  <c r="M22" i="6"/>
  <c r="H86" i="6"/>
  <c r="M86" i="6" s="1"/>
  <c r="M87" i="6"/>
  <c r="I86" i="6"/>
  <c r="N86" i="6" s="1"/>
  <c r="N87" i="6"/>
  <c r="J55" i="4"/>
  <c r="K22" i="6"/>
  <c r="O22" i="6"/>
  <c r="M140" i="4"/>
  <c r="I15" i="4"/>
  <c r="M15" i="4"/>
  <c r="K87" i="6"/>
  <c r="K120" i="6"/>
  <c r="K103" i="6"/>
  <c r="G14" i="4"/>
  <c r="M14" i="4" s="1"/>
  <c r="J15" i="4"/>
  <c r="H13" i="4"/>
  <c r="N13" i="4" s="1"/>
  <c r="F38" i="4"/>
  <c r="I119" i="4"/>
  <c r="L105" i="4"/>
  <c r="I123" i="4"/>
  <c r="L123" i="4"/>
  <c r="L119" i="4"/>
  <c r="L97" i="4"/>
  <c r="L77" i="4"/>
  <c r="I69" i="4"/>
  <c r="L65" i="4"/>
  <c r="L55" i="4"/>
  <c r="L45" i="4"/>
  <c r="I161" i="4"/>
  <c r="I77" i="6"/>
  <c r="N77" i="6" s="1"/>
  <c r="J77" i="6"/>
  <c r="J28" i="6"/>
  <c r="O28" i="6" s="1"/>
  <c r="N57" i="6"/>
  <c r="O57" i="6"/>
  <c r="J13" i="6"/>
  <c r="O13" i="6" s="1"/>
  <c r="I95" i="6"/>
  <c r="N95" i="6" s="1"/>
  <c r="L39" i="3"/>
  <c r="M39" i="3"/>
  <c r="K39" i="3"/>
  <c r="M22" i="9"/>
  <c r="M23" i="9" s="1"/>
  <c r="M24" i="9" s="1"/>
  <c r="M114" i="6" l="1"/>
  <c r="F132" i="4"/>
  <c r="L133" i="4"/>
  <c r="K15" i="6"/>
  <c r="N15" i="6"/>
  <c r="H20" i="6"/>
  <c r="M20" i="6" s="1"/>
  <c r="M21" i="6"/>
  <c r="F37" i="4"/>
  <c r="L37" i="4" s="1"/>
  <c r="L38" i="4"/>
  <c r="K14" i="6"/>
  <c r="N14" i="6"/>
  <c r="F36" i="4"/>
  <c r="L36" i="4" s="1"/>
  <c r="K77" i="6"/>
  <c r="O77" i="6"/>
  <c r="N27" i="6"/>
  <c r="N28" i="6"/>
  <c r="K57" i="6"/>
  <c r="J12" i="6"/>
  <c r="I45" i="4"/>
  <c r="G13" i="4"/>
  <c r="M13" i="4" s="1"/>
  <c r="I14" i="4"/>
  <c r="J69" i="4"/>
  <c r="J14" i="4"/>
  <c r="J27" i="6"/>
  <c r="K28" i="6"/>
  <c r="J119" i="4"/>
  <c r="J123" i="4"/>
  <c r="J45" i="4"/>
  <c r="H12" i="4"/>
  <c r="N12" i="4" s="1"/>
  <c r="I13" i="6"/>
  <c r="I12" i="6" l="1"/>
  <c r="I11" i="6" s="1"/>
  <c r="N13" i="6"/>
  <c r="F131" i="4"/>
  <c r="F130" i="4" s="1"/>
  <c r="L132" i="4"/>
  <c r="K27" i="6"/>
  <c r="O27" i="6"/>
  <c r="G12" i="4"/>
  <c r="M12" i="4" s="1"/>
  <c r="I13" i="4"/>
  <c r="K13" i="6"/>
  <c r="J13" i="4"/>
  <c r="J11" i="6"/>
  <c r="H11" i="4"/>
  <c r="H128" i="4"/>
  <c r="N128" i="4" s="1"/>
  <c r="G128" i="4"/>
  <c r="F128" i="4"/>
  <c r="G112" i="4"/>
  <c r="M112" i="4" s="1"/>
  <c r="H112" i="4"/>
  <c r="F112" i="4"/>
  <c r="O56" i="6"/>
  <c r="I15" i="8"/>
  <c r="J15" i="8"/>
  <c r="I24" i="8"/>
  <c r="J24" i="8"/>
  <c r="I29" i="8"/>
  <c r="J29" i="8"/>
  <c r="I32" i="8"/>
  <c r="J32" i="8"/>
  <c r="H122" i="6"/>
  <c r="H113" i="6" s="1"/>
  <c r="J122" i="6"/>
  <c r="O122" i="6" s="1"/>
  <c r="I122" i="6"/>
  <c r="I113" i="6" s="1"/>
  <c r="K12" i="6" l="1"/>
  <c r="N122" i="6"/>
  <c r="M122" i="6"/>
  <c r="F111" i="4"/>
  <c r="L111" i="4" s="1"/>
  <c r="L112" i="4"/>
  <c r="F127" i="4"/>
  <c r="L127" i="4" s="1"/>
  <c r="L128" i="4"/>
  <c r="H111" i="4"/>
  <c r="N111" i="4" s="1"/>
  <c r="N112" i="4"/>
  <c r="I128" i="4"/>
  <c r="M128" i="4"/>
  <c r="J12" i="4"/>
  <c r="L131" i="4"/>
  <c r="L130" i="4"/>
  <c r="I112" i="4"/>
  <c r="O55" i="6"/>
  <c r="H127" i="4"/>
  <c r="N127" i="4" s="1"/>
  <c r="J128" i="4"/>
  <c r="K122" i="6"/>
  <c r="G11" i="4"/>
  <c r="I11" i="4" s="1"/>
  <c r="I12" i="4"/>
  <c r="G111" i="4"/>
  <c r="H126" i="4" l="1"/>
  <c r="N126" i="4" s="1"/>
  <c r="M113" i="6"/>
  <c r="H112" i="6"/>
  <c r="M112" i="6" s="1"/>
  <c r="I111" i="4"/>
  <c r="M111" i="4"/>
  <c r="J11" i="4"/>
  <c r="N115" i="6"/>
  <c r="J115" i="6"/>
  <c r="P29" i="3"/>
  <c r="P30" i="3"/>
  <c r="P19" i="3"/>
  <c r="N29" i="3"/>
  <c r="J26" i="8"/>
  <c r="J16" i="8"/>
  <c r="I14" i="8"/>
  <c r="I30" i="8"/>
  <c r="J31" i="8"/>
  <c r="I31" i="8"/>
  <c r="J23" i="8"/>
  <c r="I23" i="8"/>
  <c r="I21" i="8"/>
  <c r="J20" i="8"/>
  <c r="I18" i="8"/>
  <c r="J18" i="8"/>
  <c r="I16" i="8"/>
  <c r="J14" i="8"/>
  <c r="J13" i="8"/>
  <c r="I13" i="8"/>
  <c r="J12" i="8"/>
  <c r="K115" i="6" l="1"/>
  <c r="O115" i="6"/>
  <c r="I25" i="8"/>
  <c r="I26" i="8"/>
  <c r="I22" i="8"/>
  <c r="I76" i="6" l="1"/>
  <c r="N76" i="6" s="1"/>
  <c r="I98" i="6"/>
  <c r="J98" i="6"/>
  <c r="H98" i="6"/>
  <c r="H38" i="4"/>
  <c r="N38" i="4" s="1"/>
  <c r="G38" i="4"/>
  <c r="M38" i="4" s="1"/>
  <c r="I97" i="6" l="1"/>
  <c r="N98" i="6"/>
  <c r="H97" i="6"/>
  <c r="M97" i="6" s="1"/>
  <c r="M98" i="6"/>
  <c r="K98" i="6"/>
  <c r="O98" i="6"/>
  <c r="I38" i="4"/>
  <c r="J38" i="4"/>
  <c r="G37" i="4"/>
  <c r="M37" i="4" s="1"/>
  <c r="J97" i="6"/>
  <c r="J94" i="6" s="1"/>
  <c r="H36" i="4"/>
  <c r="G36" i="4"/>
  <c r="M36" i="4" s="1"/>
  <c r="H37" i="4"/>
  <c r="I75" i="6"/>
  <c r="M21" i="3"/>
  <c r="N36" i="4" l="1"/>
  <c r="I94" i="6"/>
  <c r="N94" i="6" s="1"/>
  <c r="N97" i="6"/>
  <c r="K97" i="6"/>
  <c r="O97" i="6"/>
  <c r="I74" i="6"/>
  <c r="N74" i="6" s="1"/>
  <c r="N75" i="6"/>
  <c r="J37" i="4"/>
  <c r="N37" i="4"/>
  <c r="I36" i="4"/>
  <c r="J36" i="4"/>
  <c r="I37" i="4"/>
  <c r="J21" i="8"/>
  <c r="J102" i="6"/>
  <c r="O102" i="6" s="1"/>
  <c r="J86" i="6"/>
  <c r="G122" i="4"/>
  <c r="M122" i="4" s="1"/>
  <c r="H96" i="4"/>
  <c r="N96" i="4" s="1"/>
  <c r="H76" i="4"/>
  <c r="N76" i="4" s="1"/>
  <c r="G64" i="4"/>
  <c r="M64" i="4" s="1"/>
  <c r="H160" i="4"/>
  <c r="N160" i="4" s="1"/>
  <c r="G160" i="4"/>
  <c r="M160" i="4" s="1"/>
  <c r="F160" i="4"/>
  <c r="H155" i="4"/>
  <c r="N155" i="4" s="1"/>
  <c r="F155" i="4"/>
  <c r="H149" i="4"/>
  <c r="N149" i="4" s="1"/>
  <c r="G149" i="4"/>
  <c r="F149" i="4"/>
  <c r="L149" i="4" s="1"/>
  <c r="H134" i="4"/>
  <c r="N134" i="4" s="1"/>
  <c r="G134" i="4"/>
  <c r="H122" i="4"/>
  <c r="F122" i="4"/>
  <c r="L122" i="4" s="1"/>
  <c r="F118" i="4"/>
  <c r="H109" i="4"/>
  <c r="N109" i="4" s="1"/>
  <c r="G109" i="4"/>
  <c r="M109" i="4" s="1"/>
  <c r="F109" i="4"/>
  <c r="L109" i="4" s="1"/>
  <c r="F104" i="4"/>
  <c r="L104" i="4" s="1"/>
  <c r="G104" i="4"/>
  <c r="M104" i="4" s="1"/>
  <c r="F96" i="4"/>
  <c r="L96" i="4" s="1"/>
  <c r="H90" i="4"/>
  <c r="N90" i="4" s="1"/>
  <c r="G90" i="4"/>
  <c r="F90" i="4"/>
  <c r="L90" i="4" s="1"/>
  <c r="L85" i="4"/>
  <c r="H84" i="4"/>
  <c r="N84" i="4" s="1"/>
  <c r="H80" i="4"/>
  <c r="G80" i="4"/>
  <c r="M80" i="4" s="1"/>
  <c r="F80" i="4"/>
  <c r="L80" i="4" s="1"/>
  <c r="G76" i="4"/>
  <c r="M76" i="4" s="1"/>
  <c r="F68" i="4"/>
  <c r="L68" i="4" s="1"/>
  <c r="F64" i="4"/>
  <c r="L64" i="4" s="1"/>
  <c r="G54" i="4"/>
  <c r="M54" i="4" s="1"/>
  <c r="F44" i="4"/>
  <c r="L44" i="4" s="1"/>
  <c r="F34" i="4"/>
  <c r="L34" i="4" s="1"/>
  <c r="H27" i="4"/>
  <c r="N27" i="4" s="1"/>
  <c r="H22" i="4"/>
  <c r="N22" i="4" s="1"/>
  <c r="G22" i="4"/>
  <c r="F22" i="4"/>
  <c r="L22" i="4" s="1"/>
  <c r="I134" i="4" l="1"/>
  <c r="M134" i="4"/>
  <c r="F154" i="4"/>
  <c r="L154" i="4" s="1"/>
  <c r="L155" i="4"/>
  <c r="I90" i="4"/>
  <c r="M90" i="4"/>
  <c r="F117" i="4"/>
  <c r="L118" i="4"/>
  <c r="I149" i="4"/>
  <c r="M149" i="4"/>
  <c r="F159" i="4"/>
  <c r="L160" i="4"/>
  <c r="K95" i="6"/>
  <c r="O95" i="6"/>
  <c r="K86" i="6"/>
  <c r="O86" i="6"/>
  <c r="J80" i="4"/>
  <c r="N80" i="4"/>
  <c r="J122" i="4"/>
  <c r="N122" i="4"/>
  <c r="I22" i="4"/>
  <c r="M22" i="4"/>
  <c r="I109" i="4"/>
  <c r="J90" i="4"/>
  <c r="I76" i="4"/>
  <c r="J76" i="4"/>
  <c r="J149" i="4"/>
  <c r="J134" i="4"/>
  <c r="I122" i="4"/>
  <c r="J22" i="4"/>
  <c r="I80" i="4"/>
  <c r="J109" i="4"/>
  <c r="F63" i="4"/>
  <c r="F33" i="4"/>
  <c r="L33" i="4" s="1"/>
  <c r="J85" i="6"/>
  <c r="G63" i="4"/>
  <c r="M63" i="4" s="1"/>
  <c r="I20" i="8"/>
  <c r="I19" i="8"/>
  <c r="H83" i="4"/>
  <c r="N83" i="4" s="1"/>
  <c r="G121" i="4"/>
  <c r="M121" i="4" s="1"/>
  <c r="H89" i="4"/>
  <c r="H148" i="4"/>
  <c r="N148" i="4" s="1"/>
  <c r="H21" i="4"/>
  <c r="N21" i="4" s="1"/>
  <c r="H26" i="4"/>
  <c r="N26" i="4" s="1"/>
  <c r="H133" i="4"/>
  <c r="N133" i="4" s="1"/>
  <c r="G159" i="4"/>
  <c r="M159" i="4" s="1"/>
  <c r="I160" i="4"/>
  <c r="G34" i="4"/>
  <c r="M34" i="4" s="1"/>
  <c r="H75" i="4"/>
  <c r="N75" i="4" s="1"/>
  <c r="F84" i="4"/>
  <c r="L84" i="4" s="1"/>
  <c r="F108" i="4"/>
  <c r="L108" i="4" s="1"/>
  <c r="G84" i="4"/>
  <c r="H44" i="4"/>
  <c r="N44" i="4" s="1"/>
  <c r="G79" i="4"/>
  <c r="M79" i="4" s="1"/>
  <c r="F89" i="4"/>
  <c r="L89" i="4" s="1"/>
  <c r="G89" i="4"/>
  <c r="M89" i="4" s="1"/>
  <c r="F148" i="4"/>
  <c r="L148" i="4" s="1"/>
  <c r="H79" i="4"/>
  <c r="N79" i="4" s="1"/>
  <c r="G155" i="4"/>
  <c r="F27" i="4"/>
  <c r="L27" i="4" s="1"/>
  <c r="F67" i="4"/>
  <c r="F54" i="4"/>
  <c r="L54" i="4" s="1"/>
  <c r="F103" i="4"/>
  <c r="L103" i="4" s="1"/>
  <c r="G108" i="4"/>
  <c r="M108" i="4" s="1"/>
  <c r="F21" i="4"/>
  <c r="L21" i="4" s="1"/>
  <c r="F79" i="4"/>
  <c r="G103" i="4"/>
  <c r="M103" i="4" s="1"/>
  <c r="F121" i="4"/>
  <c r="L121" i="4" s="1"/>
  <c r="G127" i="4"/>
  <c r="M127" i="4" s="1"/>
  <c r="F153" i="4"/>
  <c r="L153" i="4" s="1"/>
  <c r="F95" i="4"/>
  <c r="L95" i="4" s="1"/>
  <c r="H121" i="4"/>
  <c r="G27" i="4"/>
  <c r="F76" i="4"/>
  <c r="L76" i="4" s="1"/>
  <c r="H34" i="4"/>
  <c r="N34" i="4" s="1"/>
  <c r="G44" i="4"/>
  <c r="M44" i="4" s="1"/>
  <c r="H54" i="4"/>
  <c r="H108" i="4"/>
  <c r="N108" i="4" s="1"/>
  <c r="H104" i="4"/>
  <c r="H118" i="4"/>
  <c r="N118" i="4" s="1"/>
  <c r="G133" i="4"/>
  <c r="M133" i="4" s="1"/>
  <c r="G148" i="4"/>
  <c r="G75" i="4"/>
  <c r="M75" i="4" s="1"/>
  <c r="G21" i="4"/>
  <c r="F43" i="4"/>
  <c r="G53" i="4"/>
  <c r="M53" i="4" s="1"/>
  <c r="H64" i="4"/>
  <c r="G68" i="4"/>
  <c r="M68" i="4" s="1"/>
  <c r="G118" i="4"/>
  <c r="H154" i="4"/>
  <c r="N154" i="4" s="1"/>
  <c r="H68" i="4"/>
  <c r="N68" i="4" s="1"/>
  <c r="H95" i="4"/>
  <c r="N95" i="4" s="1"/>
  <c r="G96" i="4"/>
  <c r="H159" i="4"/>
  <c r="N159" i="4" s="1"/>
  <c r="L35" i="3"/>
  <c r="L34" i="3" s="1"/>
  <c r="P49" i="3"/>
  <c r="D30" i="8"/>
  <c r="F30" i="8"/>
  <c r="J30" i="8" s="1"/>
  <c r="I152" i="6"/>
  <c r="H152" i="6"/>
  <c r="L63" i="4" l="1"/>
  <c r="F62" i="4"/>
  <c r="L43" i="4"/>
  <c r="F42" i="4"/>
  <c r="F41" i="4" s="1"/>
  <c r="F78" i="4"/>
  <c r="L78" i="4" s="1"/>
  <c r="L79" i="4"/>
  <c r="F158" i="4"/>
  <c r="L159" i="4"/>
  <c r="I148" i="4"/>
  <c r="M148" i="4"/>
  <c r="H151" i="6"/>
  <c r="M152" i="6"/>
  <c r="F66" i="4"/>
  <c r="L66" i="4" s="1"/>
  <c r="L67" i="4"/>
  <c r="H88" i="4"/>
  <c r="N88" i="4" s="1"/>
  <c r="N89" i="4"/>
  <c r="I155" i="4"/>
  <c r="M155" i="4"/>
  <c r="F116" i="4"/>
  <c r="L116" i="4" s="1"/>
  <c r="L117" i="4"/>
  <c r="K94" i="6"/>
  <c r="O94" i="6"/>
  <c r="I151" i="6"/>
  <c r="N151" i="6" s="1"/>
  <c r="N152" i="6"/>
  <c r="I84" i="4"/>
  <c r="M84" i="4"/>
  <c r="J64" i="4"/>
  <c r="N64" i="4"/>
  <c r="I96" i="4"/>
  <c r="M96" i="4"/>
  <c r="J104" i="4"/>
  <c r="N104" i="4"/>
  <c r="I118" i="4"/>
  <c r="M118" i="4"/>
  <c r="J121" i="4"/>
  <c r="N121" i="4"/>
  <c r="I27" i="4"/>
  <c r="M27" i="4"/>
  <c r="I21" i="4"/>
  <c r="M21" i="4"/>
  <c r="J54" i="4"/>
  <c r="N54" i="4"/>
  <c r="J79" i="4"/>
  <c r="I89" i="4"/>
  <c r="J44" i="4"/>
  <c r="I133" i="4"/>
  <c r="I75" i="4"/>
  <c r="J68" i="4"/>
  <c r="J108" i="4"/>
  <c r="J34" i="4"/>
  <c r="I108" i="4"/>
  <c r="G78" i="4"/>
  <c r="M78" i="4" s="1"/>
  <c r="I79" i="4"/>
  <c r="I34" i="4"/>
  <c r="J148" i="4"/>
  <c r="I54" i="4"/>
  <c r="J118" i="4"/>
  <c r="J89" i="4"/>
  <c r="I104" i="4"/>
  <c r="I68" i="4"/>
  <c r="I127" i="4"/>
  <c r="J127" i="4"/>
  <c r="J75" i="4"/>
  <c r="J27" i="4"/>
  <c r="J96" i="4"/>
  <c r="I44" i="4"/>
  <c r="J133" i="4"/>
  <c r="H20" i="4"/>
  <c r="N20" i="4" s="1"/>
  <c r="J21" i="4"/>
  <c r="I121" i="4"/>
  <c r="J155" i="4"/>
  <c r="I64" i="4"/>
  <c r="J84" i="4"/>
  <c r="F32" i="4"/>
  <c r="L32" i="4" s="1"/>
  <c r="O85" i="6"/>
  <c r="F107" i="4"/>
  <c r="F53" i="4"/>
  <c r="L53" i="4" s="1"/>
  <c r="H25" i="4"/>
  <c r="N25" i="4" s="1"/>
  <c r="G62" i="4"/>
  <c r="G33" i="4"/>
  <c r="M33" i="4" s="1"/>
  <c r="G120" i="4"/>
  <c r="M120" i="4" s="1"/>
  <c r="G43" i="4"/>
  <c r="H132" i="4"/>
  <c r="N132" i="4" s="1"/>
  <c r="H117" i="4"/>
  <c r="N117" i="4" s="1"/>
  <c r="H33" i="4"/>
  <c r="N33" i="4" s="1"/>
  <c r="G158" i="4"/>
  <c r="M158" i="4" s="1"/>
  <c r="I159" i="4"/>
  <c r="H147" i="4"/>
  <c r="N147" i="4" s="1"/>
  <c r="H82" i="4"/>
  <c r="N82" i="4" s="1"/>
  <c r="H74" i="4"/>
  <c r="F83" i="4"/>
  <c r="L83" i="4" s="1"/>
  <c r="H78" i="4"/>
  <c r="N78" i="4" s="1"/>
  <c r="F147" i="4"/>
  <c r="L147" i="4" s="1"/>
  <c r="G88" i="4"/>
  <c r="F88" i="4"/>
  <c r="L88" i="4" s="1"/>
  <c r="H43" i="4"/>
  <c r="G83" i="4"/>
  <c r="H103" i="4"/>
  <c r="G154" i="4"/>
  <c r="G95" i="4"/>
  <c r="F26" i="4"/>
  <c r="L26" i="4" s="1"/>
  <c r="G107" i="4"/>
  <c r="M107" i="4" s="1"/>
  <c r="F126" i="4"/>
  <c r="G102" i="4"/>
  <c r="F102" i="4"/>
  <c r="F20" i="4"/>
  <c r="L20" i="4" s="1"/>
  <c r="F120" i="4"/>
  <c r="L120" i="4" s="1"/>
  <c r="G126" i="4"/>
  <c r="M126" i="4" s="1"/>
  <c r="F152" i="4"/>
  <c r="L152" i="4" s="1"/>
  <c r="G147" i="4"/>
  <c r="H107" i="4"/>
  <c r="H53" i="4"/>
  <c r="F75" i="4"/>
  <c r="L75" i="4" s="1"/>
  <c r="G26" i="4"/>
  <c r="H120" i="4"/>
  <c r="N120" i="4" s="1"/>
  <c r="G132" i="4"/>
  <c r="M132" i="4" s="1"/>
  <c r="F94" i="4"/>
  <c r="F93" i="4" s="1"/>
  <c r="G74" i="4"/>
  <c r="G20" i="4"/>
  <c r="M20" i="4" s="1"/>
  <c r="H94" i="4"/>
  <c r="H153" i="4"/>
  <c r="N153" i="4" s="1"/>
  <c r="G117" i="4"/>
  <c r="M117" i="4" s="1"/>
  <c r="G67" i="4"/>
  <c r="M67" i="4" s="1"/>
  <c r="H63" i="4"/>
  <c r="H62" i="4" s="1"/>
  <c r="F13" i="4"/>
  <c r="L13" i="4" s="1"/>
  <c r="H158" i="4"/>
  <c r="N158" i="4" s="1"/>
  <c r="H67" i="4"/>
  <c r="N67" i="4" s="1"/>
  <c r="G52" i="4"/>
  <c r="G51" i="4" s="1"/>
  <c r="I150" i="6"/>
  <c r="J152" i="6"/>
  <c r="O152" i="6" s="1"/>
  <c r="H61" i="4" l="1"/>
  <c r="M62" i="4"/>
  <c r="G61" i="4"/>
  <c r="N43" i="4"/>
  <c r="H42" i="4"/>
  <c r="M43" i="4"/>
  <c r="G42" i="4"/>
  <c r="N94" i="4"/>
  <c r="M102" i="4"/>
  <c r="L102" i="4"/>
  <c r="L93" i="4"/>
  <c r="N74" i="4"/>
  <c r="M74" i="4"/>
  <c r="M52" i="4"/>
  <c r="M51" i="4"/>
  <c r="L42" i="4"/>
  <c r="F52" i="4"/>
  <c r="F51" i="4" s="1"/>
  <c r="H150" i="6"/>
  <c r="M151" i="6"/>
  <c r="L62" i="4"/>
  <c r="L94" i="4"/>
  <c r="F157" i="4"/>
  <c r="L157" i="4" s="1"/>
  <c r="L158" i="4"/>
  <c r="F125" i="4"/>
  <c r="L126" i="4"/>
  <c r="I154" i="4"/>
  <c r="M154" i="4"/>
  <c r="F106" i="4"/>
  <c r="L107" i="4"/>
  <c r="I88" i="4"/>
  <c r="M88" i="4"/>
  <c r="I147" i="4"/>
  <c r="M147" i="4"/>
  <c r="H87" i="4"/>
  <c r="N87" i="4" s="1"/>
  <c r="I149" i="6"/>
  <c r="N149" i="6" s="1"/>
  <c r="N150" i="6"/>
  <c r="I83" i="4"/>
  <c r="M83" i="4"/>
  <c r="J63" i="4"/>
  <c r="N63" i="4"/>
  <c r="I95" i="4"/>
  <c r="M95" i="4"/>
  <c r="J103" i="4"/>
  <c r="N103" i="4"/>
  <c r="J107" i="4"/>
  <c r="N107" i="4"/>
  <c r="J120" i="4"/>
  <c r="I26" i="4"/>
  <c r="M26" i="4"/>
  <c r="J53" i="4"/>
  <c r="N53" i="4"/>
  <c r="I74" i="4"/>
  <c r="I20" i="4"/>
  <c r="J43" i="4"/>
  <c r="I117" i="4"/>
  <c r="I132" i="4"/>
  <c r="H19" i="4"/>
  <c r="N19" i="4" s="1"/>
  <c r="J78" i="4"/>
  <c r="J67" i="4"/>
  <c r="J147" i="4"/>
  <c r="J33" i="4"/>
  <c r="J20" i="4"/>
  <c r="J154" i="4"/>
  <c r="J83" i="4"/>
  <c r="I78" i="4"/>
  <c r="J117" i="4"/>
  <c r="I43" i="4"/>
  <c r="I103" i="4"/>
  <c r="I63" i="4"/>
  <c r="J74" i="4"/>
  <c r="I158" i="4"/>
  <c r="J132" i="4"/>
  <c r="I120" i="4"/>
  <c r="I67" i="4"/>
  <c r="I126" i="4"/>
  <c r="J126" i="4"/>
  <c r="I107" i="4"/>
  <c r="I33" i="4"/>
  <c r="I53" i="4"/>
  <c r="J26" i="4"/>
  <c r="J88" i="4"/>
  <c r="J95" i="4"/>
  <c r="F31" i="4"/>
  <c r="L31" i="4" s="1"/>
  <c r="F146" i="4"/>
  <c r="L146" i="4" s="1"/>
  <c r="G19" i="4"/>
  <c r="M19" i="4" s="1"/>
  <c r="H146" i="4"/>
  <c r="N146" i="4" s="1"/>
  <c r="G32" i="4"/>
  <c r="M32" i="4" s="1"/>
  <c r="H116" i="4"/>
  <c r="N116" i="4" s="1"/>
  <c r="H131" i="4"/>
  <c r="H130" i="4" s="1"/>
  <c r="H32" i="4"/>
  <c r="N32" i="4" s="1"/>
  <c r="H24" i="4"/>
  <c r="N24" i="4" s="1"/>
  <c r="J151" i="6"/>
  <c r="O151" i="6" s="1"/>
  <c r="G157" i="4"/>
  <c r="M157" i="4" s="1"/>
  <c r="F25" i="4"/>
  <c r="F82" i="4"/>
  <c r="L82" i="4" s="1"/>
  <c r="H102" i="4"/>
  <c r="H93" i="4" s="1"/>
  <c r="G106" i="4"/>
  <c r="M106" i="4" s="1"/>
  <c r="G87" i="4"/>
  <c r="G82" i="4"/>
  <c r="F87" i="4"/>
  <c r="L87" i="4" s="1"/>
  <c r="G153" i="4"/>
  <c r="F19" i="4"/>
  <c r="L19" i="4" s="1"/>
  <c r="F115" i="4"/>
  <c r="G125" i="4"/>
  <c r="M125" i="4" s="1"/>
  <c r="H106" i="4"/>
  <c r="N106" i="4" s="1"/>
  <c r="H52" i="4"/>
  <c r="H51" i="4" s="1"/>
  <c r="G25" i="4"/>
  <c r="G146" i="4"/>
  <c r="G131" i="4"/>
  <c r="G130" i="4" s="1"/>
  <c r="F74" i="4"/>
  <c r="F61" i="4" s="1"/>
  <c r="F60" i="4" s="1"/>
  <c r="F151" i="4"/>
  <c r="L151" i="4" s="1"/>
  <c r="H66" i="4"/>
  <c r="F12" i="4"/>
  <c r="L12" i="4" s="1"/>
  <c r="N62" i="4"/>
  <c r="G66" i="4"/>
  <c r="G116" i="4"/>
  <c r="M116" i="4" s="1"/>
  <c r="G94" i="4"/>
  <c r="G93" i="4" s="1"/>
  <c r="H152" i="4"/>
  <c r="N152" i="4" s="1"/>
  <c r="H157" i="4"/>
  <c r="N157" i="4" s="1"/>
  <c r="G60" i="4" l="1"/>
  <c r="H60" i="4"/>
  <c r="L106" i="4"/>
  <c r="F92" i="4"/>
  <c r="L74" i="4"/>
  <c r="L52" i="4"/>
  <c r="L51" i="4"/>
  <c r="N42" i="4"/>
  <c r="H41" i="4"/>
  <c r="N41" i="4" s="1"/>
  <c r="M42" i="4"/>
  <c r="G41" i="4"/>
  <c r="H86" i="4"/>
  <c r="N86" i="4" s="1"/>
  <c r="M131" i="4"/>
  <c r="M130" i="4"/>
  <c r="I153" i="4"/>
  <c r="M153" i="4"/>
  <c r="F40" i="4"/>
  <c r="L40" i="4" s="1"/>
  <c r="L41" i="4"/>
  <c r="F124" i="4"/>
  <c r="L124" i="4" s="1"/>
  <c r="L125" i="4"/>
  <c r="I87" i="4"/>
  <c r="M87" i="4"/>
  <c r="I146" i="4"/>
  <c r="M146" i="4"/>
  <c r="F24" i="4"/>
  <c r="L24" i="4" s="1"/>
  <c r="L25" i="4"/>
  <c r="F114" i="4"/>
  <c r="L114" i="4" s="1"/>
  <c r="L115" i="4"/>
  <c r="H149" i="6"/>
  <c r="M149" i="6" s="1"/>
  <c r="M150" i="6"/>
  <c r="I82" i="4"/>
  <c r="M82" i="4"/>
  <c r="N66" i="4"/>
  <c r="M61" i="4"/>
  <c r="M66" i="4"/>
  <c r="J94" i="4"/>
  <c r="M94" i="4"/>
  <c r="J102" i="4"/>
  <c r="N102" i="4"/>
  <c r="N131" i="4"/>
  <c r="N130" i="4"/>
  <c r="I25" i="4"/>
  <c r="M25" i="4"/>
  <c r="I52" i="4"/>
  <c r="N52" i="4"/>
  <c r="J19" i="4"/>
  <c r="J106" i="4"/>
  <c r="I116" i="4"/>
  <c r="I32" i="4"/>
  <c r="J25" i="4"/>
  <c r="J116" i="4"/>
  <c r="J82" i="4"/>
  <c r="J87" i="4"/>
  <c r="J66" i="4"/>
  <c r="J42" i="4"/>
  <c r="I106" i="4"/>
  <c r="H18" i="4"/>
  <c r="N18" i="4" s="1"/>
  <c r="M41" i="4"/>
  <c r="I42" i="4"/>
  <c r="J146" i="4"/>
  <c r="J153" i="4"/>
  <c r="I94" i="4"/>
  <c r="M93" i="4"/>
  <c r="I66" i="4"/>
  <c r="J62" i="4"/>
  <c r="I131" i="4"/>
  <c r="J52" i="4"/>
  <c r="I157" i="4"/>
  <c r="J32" i="4"/>
  <c r="J131" i="4"/>
  <c r="I19" i="4"/>
  <c r="I102" i="4"/>
  <c r="I62" i="4"/>
  <c r="I61" i="4" s="1"/>
  <c r="F30" i="4"/>
  <c r="L30" i="4" s="1"/>
  <c r="F50" i="4"/>
  <c r="L50" i="4" s="1"/>
  <c r="F145" i="4"/>
  <c r="L145" i="4" s="1"/>
  <c r="H115" i="4"/>
  <c r="N115" i="4" s="1"/>
  <c r="G115" i="4"/>
  <c r="M115" i="4" s="1"/>
  <c r="H31" i="4"/>
  <c r="N31" i="4" s="1"/>
  <c r="G31" i="4"/>
  <c r="M31" i="4" s="1"/>
  <c r="G50" i="4"/>
  <c r="M50" i="4" s="1"/>
  <c r="H145" i="4"/>
  <c r="N145" i="4" s="1"/>
  <c r="G124" i="4"/>
  <c r="M124" i="4" s="1"/>
  <c r="F86" i="4"/>
  <c r="L86" i="4" s="1"/>
  <c r="G86" i="4"/>
  <c r="G152" i="4"/>
  <c r="G145" i="4"/>
  <c r="G24" i="4"/>
  <c r="H151" i="4"/>
  <c r="N151" i="4" s="1"/>
  <c r="H125" i="4"/>
  <c r="F11" i="4"/>
  <c r="J150" i="6"/>
  <c r="O150" i="6" s="1"/>
  <c r="I60" i="4" l="1"/>
  <c r="N61" i="4"/>
  <c r="L92" i="4"/>
  <c r="G92" i="4"/>
  <c r="F18" i="4"/>
  <c r="L18" i="4" s="1"/>
  <c r="I145" i="4"/>
  <c r="M145" i="4"/>
  <c r="J125" i="4"/>
  <c r="N125" i="4"/>
  <c r="I152" i="4"/>
  <c r="M152" i="4"/>
  <c r="I86" i="4"/>
  <c r="M86" i="4"/>
  <c r="J61" i="4"/>
  <c r="L60" i="4"/>
  <c r="L61" i="4"/>
  <c r="J93" i="4"/>
  <c r="N93" i="4"/>
  <c r="I24" i="4"/>
  <c r="M24" i="4"/>
  <c r="J51" i="4"/>
  <c r="N51" i="4"/>
  <c r="I41" i="4"/>
  <c r="I130" i="4"/>
  <c r="I115" i="4"/>
  <c r="J145" i="4"/>
  <c r="I31" i="4"/>
  <c r="G18" i="4"/>
  <c r="I93" i="4"/>
  <c r="I51" i="4"/>
  <c r="J31" i="4"/>
  <c r="J152" i="4"/>
  <c r="J24" i="4"/>
  <c r="J41" i="4"/>
  <c r="H92" i="4"/>
  <c r="J115" i="4"/>
  <c r="J130" i="4"/>
  <c r="I125" i="4"/>
  <c r="J86" i="4"/>
  <c r="F29" i="4"/>
  <c r="L29" i="4" s="1"/>
  <c r="N11" i="4"/>
  <c r="H10" i="4"/>
  <c r="G40" i="4"/>
  <c r="M40" i="4" s="1"/>
  <c r="H30" i="4"/>
  <c r="N30" i="4" s="1"/>
  <c r="H50" i="4"/>
  <c r="H124" i="4"/>
  <c r="G30" i="4"/>
  <c r="M30" i="4" s="1"/>
  <c r="G114" i="4"/>
  <c r="M114" i="4" s="1"/>
  <c r="H114" i="4"/>
  <c r="H40" i="4"/>
  <c r="G151" i="4"/>
  <c r="L11" i="4"/>
  <c r="M60" i="4"/>
  <c r="N60" i="4"/>
  <c r="J149" i="6"/>
  <c r="O149" i="6" s="1"/>
  <c r="M92" i="4" l="1"/>
  <c r="F10" i="4"/>
  <c r="J124" i="4"/>
  <c r="N124" i="4"/>
  <c r="I151" i="4"/>
  <c r="M151" i="4"/>
  <c r="J40" i="4"/>
  <c r="N40" i="4"/>
  <c r="J92" i="4"/>
  <c r="N92" i="4"/>
  <c r="J114" i="4"/>
  <c r="N114" i="4"/>
  <c r="I30" i="4"/>
  <c r="I18" i="4"/>
  <c r="M18" i="4"/>
  <c r="J50" i="4"/>
  <c r="N50" i="4"/>
  <c r="J18" i="4"/>
  <c r="J60" i="4"/>
  <c r="I40" i="4"/>
  <c r="I124" i="4"/>
  <c r="I114" i="4"/>
  <c r="J30" i="4"/>
  <c r="I50" i="4"/>
  <c r="J151" i="4"/>
  <c r="I92" i="4"/>
  <c r="N10" i="4"/>
  <c r="H29" i="4"/>
  <c r="N29" i="4" s="1"/>
  <c r="G29" i="4"/>
  <c r="M29" i="4" s="1"/>
  <c r="G10" i="4"/>
  <c r="I10" i="4" s="1"/>
  <c r="M11" i="4"/>
  <c r="I12" i="8"/>
  <c r="L10" i="4" l="1"/>
  <c r="F162" i="4"/>
  <c r="F166" i="4" s="1"/>
  <c r="H162" i="4"/>
  <c r="H166" i="4" s="1"/>
  <c r="H168" i="4" s="1"/>
  <c r="G162" i="4"/>
  <c r="J10" i="4"/>
  <c r="I29" i="4"/>
  <c r="I162" i="4" s="1"/>
  <c r="J29" i="4"/>
  <c r="M10" i="4"/>
  <c r="N19" i="3"/>
  <c r="N48" i="3"/>
  <c r="G31" i="8"/>
  <c r="G29" i="8"/>
  <c r="F28" i="8"/>
  <c r="I28" i="8"/>
  <c r="D28" i="8"/>
  <c r="G26" i="8"/>
  <c r="G23" i="8"/>
  <c r="D22" i="8"/>
  <c r="F22" i="8"/>
  <c r="J22" i="8" s="1"/>
  <c r="G21" i="8"/>
  <c r="D19" i="8"/>
  <c r="G20" i="8"/>
  <c r="F19" i="8"/>
  <c r="J19" i="8" s="1"/>
  <c r="G18" i="8"/>
  <c r="I17" i="8"/>
  <c r="D17" i="8"/>
  <c r="F17" i="8"/>
  <c r="J17" i="8" s="1"/>
  <c r="G16" i="8"/>
  <c r="G15" i="8"/>
  <c r="E11" i="8"/>
  <c r="E33" i="8" s="1"/>
  <c r="G12" i="8"/>
  <c r="D11" i="8"/>
  <c r="I147" i="6"/>
  <c r="N147" i="6" s="1"/>
  <c r="H147" i="6"/>
  <c r="M147" i="6" s="1"/>
  <c r="J140" i="6"/>
  <c r="O140" i="6" s="1"/>
  <c r="I140" i="6"/>
  <c r="N140" i="6" s="1"/>
  <c r="H140" i="6"/>
  <c r="M140" i="6" s="1"/>
  <c r="J136" i="6"/>
  <c r="O136" i="6" s="1"/>
  <c r="I136" i="6"/>
  <c r="N136" i="6" s="1"/>
  <c r="H136" i="6"/>
  <c r="J114" i="6"/>
  <c r="J113" i="6" s="1"/>
  <c r="J110" i="6"/>
  <c r="I110" i="6"/>
  <c r="H110" i="6"/>
  <c r="M110" i="6" s="1"/>
  <c r="J101" i="6"/>
  <c r="O101" i="6" s="1"/>
  <c r="H95" i="6"/>
  <c r="M95" i="6" s="1"/>
  <c r="J76" i="6"/>
  <c r="H77" i="6"/>
  <c r="J72" i="6"/>
  <c r="O72" i="6" s="1"/>
  <c r="I72" i="6"/>
  <c r="N72" i="6" s="1"/>
  <c r="H72" i="6"/>
  <c r="M72" i="6" s="1"/>
  <c r="M68" i="6"/>
  <c r="J53" i="6"/>
  <c r="O53" i="6" s="1"/>
  <c r="I53" i="6"/>
  <c r="N53" i="6" s="1"/>
  <c r="H53" i="6"/>
  <c r="M53" i="6" s="1"/>
  <c r="I21" i="6"/>
  <c r="N21" i="6" s="1"/>
  <c r="M15" i="6"/>
  <c r="M14" i="6"/>
  <c r="N49" i="3"/>
  <c r="P44" i="3"/>
  <c r="P43" i="3"/>
  <c r="P42" i="3"/>
  <c r="N42" i="3"/>
  <c r="P41" i="3"/>
  <c r="N41" i="3"/>
  <c r="P40" i="3"/>
  <c r="P39" i="3"/>
  <c r="N38" i="3"/>
  <c r="P37" i="3"/>
  <c r="N37" i="3"/>
  <c r="P36" i="3"/>
  <c r="M35" i="3"/>
  <c r="M34" i="3" s="1"/>
  <c r="K35" i="3"/>
  <c r="K34" i="3" s="1"/>
  <c r="P32" i="3"/>
  <c r="P31" i="3"/>
  <c r="P27" i="3"/>
  <c r="N27" i="3"/>
  <c r="P26" i="3"/>
  <c r="N26" i="3"/>
  <c r="P25" i="3"/>
  <c r="N25" i="3"/>
  <c r="P24" i="3"/>
  <c r="N24" i="3"/>
  <c r="P23" i="3"/>
  <c r="N23" i="3"/>
  <c r="P22" i="3"/>
  <c r="P20" i="3"/>
  <c r="N20" i="3"/>
  <c r="P18" i="3"/>
  <c r="N18" i="3"/>
  <c r="P17" i="3"/>
  <c r="N17" i="3"/>
  <c r="P16" i="3"/>
  <c r="N16" i="3"/>
  <c r="P15" i="3"/>
  <c r="N15" i="3"/>
  <c r="P14" i="3"/>
  <c r="M13" i="3"/>
  <c r="M11" i="3" s="1"/>
  <c r="L13" i="3"/>
  <c r="L11" i="3" s="1"/>
  <c r="P12" i="3"/>
  <c r="N12" i="3"/>
  <c r="M18" i="9"/>
  <c r="M19" i="9" s="1"/>
  <c r="M20" i="9" s="1"/>
  <c r="M16" i="9"/>
  <c r="M34" i="9" s="1"/>
  <c r="O114" i="6" l="1"/>
  <c r="M52" i="3"/>
  <c r="M55" i="3" s="1"/>
  <c r="M56" i="3" s="1"/>
  <c r="H76" i="6"/>
  <c r="M76" i="6" s="1"/>
  <c r="M77" i="6"/>
  <c r="H135" i="6"/>
  <c r="M135" i="6" s="1"/>
  <c r="M136" i="6"/>
  <c r="J109" i="6"/>
  <c r="O109" i="6" s="1"/>
  <c r="O110" i="6"/>
  <c r="N43" i="3"/>
  <c r="I109" i="6"/>
  <c r="N109" i="6" s="1"/>
  <c r="N110" i="6"/>
  <c r="K76" i="6"/>
  <c r="O76" i="6"/>
  <c r="I33" i="8"/>
  <c r="K136" i="6"/>
  <c r="K52" i="3"/>
  <c r="M13" i="6"/>
  <c r="K72" i="6"/>
  <c r="J100" i="6"/>
  <c r="O100" i="6" s="1"/>
  <c r="K53" i="6"/>
  <c r="K140" i="6"/>
  <c r="H57" i="6"/>
  <c r="H94" i="6"/>
  <c r="M94" i="6" s="1"/>
  <c r="J52" i="6"/>
  <c r="O52" i="6" s="1"/>
  <c r="P35" i="3"/>
  <c r="N35" i="3"/>
  <c r="F33" i="8"/>
  <c r="J33" i="8" s="1"/>
  <c r="J25" i="8"/>
  <c r="J135" i="6"/>
  <c r="O135" i="6" s="1"/>
  <c r="G28" i="8"/>
  <c r="J28" i="8"/>
  <c r="J139" i="6"/>
  <c r="O139" i="6" s="1"/>
  <c r="I146" i="6"/>
  <c r="N146" i="6" s="1"/>
  <c r="J75" i="6"/>
  <c r="O75" i="6" s="1"/>
  <c r="J71" i="6"/>
  <c r="O71" i="6" s="1"/>
  <c r="Q55" i="6" s="1"/>
  <c r="G166" i="4"/>
  <c r="G168" i="4" s="1"/>
  <c r="J162" i="4"/>
  <c r="G25" i="8"/>
  <c r="G13" i="8"/>
  <c r="G19" i="8"/>
  <c r="I139" i="6"/>
  <c r="G22" i="8"/>
  <c r="G17" i="8"/>
  <c r="H52" i="6"/>
  <c r="M52" i="6" s="1"/>
  <c r="H146" i="6"/>
  <c r="J147" i="6"/>
  <c r="H28" i="6"/>
  <c r="M28" i="6" s="1"/>
  <c r="H71" i="6"/>
  <c r="M71" i="6" s="1"/>
  <c r="I71" i="6"/>
  <c r="N71" i="6" s="1"/>
  <c r="H109" i="6"/>
  <c r="M109" i="6" s="1"/>
  <c r="I135" i="6"/>
  <c r="N135" i="6" s="1"/>
  <c r="I20" i="6"/>
  <c r="N20" i="6" s="1"/>
  <c r="H139" i="6"/>
  <c r="M139" i="6" s="1"/>
  <c r="N13" i="3"/>
  <c r="N39" i="3"/>
  <c r="P13" i="3"/>
  <c r="D33" i="8"/>
  <c r="G11" i="8"/>
  <c r="G14" i="8"/>
  <c r="G30" i="8"/>
  <c r="I52" i="6"/>
  <c r="N52" i="6" s="1"/>
  <c r="P21" i="3"/>
  <c r="N21" i="3"/>
  <c r="H75" i="6" l="1"/>
  <c r="M75" i="6" s="1"/>
  <c r="H134" i="6"/>
  <c r="M134" i="6" s="1"/>
  <c r="H56" i="6"/>
  <c r="M57" i="6"/>
  <c r="J138" i="6"/>
  <c r="H145" i="6"/>
  <c r="M145" i="6" s="1"/>
  <c r="M146" i="6"/>
  <c r="I138" i="6"/>
  <c r="N138" i="6" s="1"/>
  <c r="N139" i="6"/>
  <c r="K113" i="6"/>
  <c r="N114" i="6"/>
  <c r="J112" i="6"/>
  <c r="O112" i="6" s="1"/>
  <c r="O113" i="6"/>
  <c r="K147" i="6"/>
  <c r="O147" i="6"/>
  <c r="J74" i="6"/>
  <c r="K75" i="6"/>
  <c r="K114" i="6"/>
  <c r="K135" i="6"/>
  <c r="K139" i="6"/>
  <c r="K52" i="6"/>
  <c r="K71" i="6"/>
  <c r="I85" i="6"/>
  <c r="H85" i="6"/>
  <c r="M85" i="6" s="1"/>
  <c r="H51" i="6"/>
  <c r="L52" i="3"/>
  <c r="L55" i="3" s="1"/>
  <c r="L56" i="3" s="1"/>
  <c r="K55" i="3"/>
  <c r="F168" i="4" s="1"/>
  <c r="J21" i="6"/>
  <c r="J134" i="6"/>
  <c r="O134" i="6" s="1"/>
  <c r="J51" i="6"/>
  <c r="O51" i="6" s="1"/>
  <c r="I145" i="6"/>
  <c r="N145" i="6" s="1"/>
  <c r="N56" i="6"/>
  <c r="N11" i="3"/>
  <c r="M12" i="6"/>
  <c r="H138" i="6"/>
  <c r="M138" i="6" s="1"/>
  <c r="I134" i="6"/>
  <c r="N134" i="6" s="1"/>
  <c r="H27" i="6"/>
  <c r="M27" i="6" s="1"/>
  <c r="H74" i="6"/>
  <c r="M74" i="6" s="1"/>
  <c r="I102" i="6"/>
  <c r="J146" i="6"/>
  <c r="P11" i="3"/>
  <c r="Q11" i="3" s="1"/>
  <c r="G33" i="8"/>
  <c r="I51" i="6"/>
  <c r="N51" i="6" s="1"/>
  <c r="H101" i="6"/>
  <c r="N34" i="3"/>
  <c r="P34" i="3"/>
  <c r="H133" i="6" l="1"/>
  <c r="M133" i="6" s="1"/>
  <c r="H100" i="6"/>
  <c r="M100" i="6" s="1"/>
  <c r="M101" i="6"/>
  <c r="H50" i="6"/>
  <c r="M51" i="6"/>
  <c r="K138" i="6"/>
  <c r="O138" i="6"/>
  <c r="H144" i="6"/>
  <c r="M144" i="6" s="1"/>
  <c r="K85" i="6"/>
  <c r="N85" i="6"/>
  <c r="H55" i="6"/>
  <c r="M55" i="6" s="1"/>
  <c r="M56" i="6"/>
  <c r="I112" i="6"/>
  <c r="N112" i="6" s="1"/>
  <c r="N113" i="6"/>
  <c r="K102" i="6"/>
  <c r="N102" i="6"/>
  <c r="K74" i="6"/>
  <c r="O74" i="6"/>
  <c r="K146" i="6"/>
  <c r="O146" i="6"/>
  <c r="K21" i="6"/>
  <c r="O21" i="6"/>
  <c r="K51" i="6"/>
  <c r="K56" i="6"/>
  <c r="K134" i="6"/>
  <c r="H11" i="6"/>
  <c r="M11" i="6" s="1"/>
  <c r="J133" i="6"/>
  <c r="O133" i="6" s="1"/>
  <c r="J20" i="6"/>
  <c r="J50" i="6"/>
  <c r="O50" i="6" s="1"/>
  <c r="I144" i="6"/>
  <c r="N144" i="6" s="1"/>
  <c r="I101" i="6"/>
  <c r="N101" i="6" s="1"/>
  <c r="I133" i="6"/>
  <c r="N133" i="6" s="1"/>
  <c r="N12" i="6"/>
  <c r="J145" i="6"/>
  <c r="H132" i="6"/>
  <c r="M132" i="6" s="1"/>
  <c r="I50" i="6"/>
  <c r="N50" i="6" s="1"/>
  <c r="P52" i="3"/>
  <c r="N52" i="3"/>
  <c r="H143" i="6" l="1"/>
  <c r="M143" i="6" s="1"/>
  <c r="K112" i="6"/>
  <c r="M50" i="6"/>
  <c r="H49" i="6"/>
  <c r="M49" i="6" s="1"/>
  <c r="K55" i="6"/>
  <c r="N55" i="6"/>
  <c r="P55" i="6" s="1"/>
  <c r="K145" i="6"/>
  <c r="O145" i="6"/>
  <c r="K20" i="6"/>
  <c r="O20" i="6"/>
  <c r="K50" i="6"/>
  <c r="I100" i="6"/>
  <c r="K101" i="6"/>
  <c r="K133" i="6"/>
  <c r="J132" i="6"/>
  <c r="O132" i="6" s="1"/>
  <c r="J49" i="6"/>
  <c r="O49" i="6" s="1"/>
  <c r="I143" i="6"/>
  <c r="N143" i="6" s="1"/>
  <c r="I132" i="6"/>
  <c r="N132" i="6" s="1"/>
  <c r="H142" i="6"/>
  <c r="M142" i="6" s="1"/>
  <c r="K11" i="6"/>
  <c r="N11" i="6"/>
  <c r="J144" i="6"/>
  <c r="I49" i="6"/>
  <c r="N49" i="6" s="1"/>
  <c r="H10" i="6"/>
  <c r="H9" i="6" s="1"/>
  <c r="H154" i="6" s="1"/>
  <c r="H131" i="6"/>
  <c r="M131" i="6" s="1"/>
  <c r="K100" i="6" l="1"/>
  <c r="N100" i="6"/>
  <c r="K144" i="6"/>
  <c r="O144" i="6"/>
  <c r="J131" i="6"/>
  <c r="O131" i="6" s="1"/>
  <c r="K132" i="6"/>
  <c r="K49" i="6"/>
  <c r="I131" i="6"/>
  <c r="N131" i="6" s="1"/>
  <c r="I10" i="6"/>
  <c r="J10" i="6"/>
  <c r="J9" i="6" s="1"/>
  <c r="I142" i="6"/>
  <c r="N142" i="6" s="1"/>
  <c r="J143" i="6"/>
  <c r="O143" i="6" s="1"/>
  <c r="M154" i="6"/>
  <c r="J142" i="6" l="1"/>
  <c r="J154" i="6" s="1"/>
  <c r="J157" i="6" s="1"/>
  <c r="K143" i="6"/>
  <c r="K131" i="6"/>
  <c r="K10" i="6"/>
  <c r="K142" i="6" l="1"/>
  <c r="O142" i="6"/>
  <c r="F36" i="8"/>
  <c r="F38" i="8" s="1"/>
  <c r="J158" i="6" l="1"/>
  <c r="D36" i="8"/>
  <c r="D38" i="8" s="1"/>
  <c r="E36" i="8" l="1"/>
  <c r="E38" i="8" s="1"/>
  <c r="O12" i="6" l="1"/>
  <c r="H157" i="6" l="1"/>
  <c r="H158" i="6" s="1"/>
  <c r="O154" i="6" l="1"/>
  <c r="I9" i="6" l="1"/>
  <c r="I154" i="6" s="1"/>
  <c r="K9" i="6" l="1"/>
  <c r="N154" i="6" l="1"/>
  <c r="K154" i="6"/>
  <c r="I157" i="6"/>
  <c r="I158" i="6" s="1"/>
</calcChain>
</file>

<file path=xl/sharedStrings.xml><?xml version="1.0" encoding="utf-8"?>
<sst xmlns="http://schemas.openxmlformats.org/spreadsheetml/2006/main" count="1789" uniqueCount="505">
  <si>
    <t>Код бюджетной классификации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</si>
  <si>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</si>
  <si>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Наименование кода бюджетной классификации</t>
  </si>
  <si>
    <t>Код главного администратора</t>
  </si>
  <si>
    <t>11105025100000120</t>
  </si>
  <si>
    <t>11105035100000120</t>
  </si>
  <si>
    <t>11701050100000180</t>
  </si>
  <si>
    <t>11705050100000180</t>
  </si>
  <si>
    <t>Администрация Казанцевского сельсовета</t>
  </si>
  <si>
    <t>10804020011000110</t>
  </si>
  <si>
    <t xml:space="preserve">ИТОГО </t>
  </si>
  <si>
    <t>Единый сельскохозяйственный налог</t>
  </si>
  <si>
    <t>Налог на доходы физических лиц</t>
  </si>
  <si>
    <t>Наименование главных распорядителей, получателей бюджетных средств и наименование показателей бюджетной классификации</t>
  </si>
  <si>
    <t>Раздел  Подраздел</t>
  </si>
  <si>
    <t>Целевая статья</t>
  </si>
  <si>
    <t>Вид расходов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</si>
  <si>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</si>
  <si>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</si>
  <si>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</si>
  <si>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</si>
  <si>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Осуществление первичного воинского учета на территориях, где отсутствуют военные комиссариаты</t>
  </si>
  <si>
    <t>000</t>
  </si>
  <si>
    <t>Код ведомства</t>
  </si>
  <si>
    <t>0100</t>
  </si>
  <si>
    <t>0102</t>
  </si>
  <si>
    <t>0103</t>
  </si>
  <si>
    <t>0104</t>
  </si>
  <si>
    <t>0801</t>
  </si>
  <si>
    <t>0203</t>
  </si>
  <si>
    <t>0500</t>
  </si>
  <si>
    <t>0503</t>
  </si>
  <si>
    <t>Заработная плата</t>
  </si>
  <si>
    <t>Услуги связи</t>
  </si>
  <si>
    <t>Коммунальные услуги</t>
  </si>
  <si>
    <t>Увеличение стоимости основных средств</t>
  </si>
  <si>
    <t>Статья</t>
  </si>
  <si>
    <t>211</t>
  </si>
  <si>
    <t>213</t>
  </si>
  <si>
    <t>Начисления на оплату труда</t>
  </si>
  <si>
    <t>340</t>
  </si>
  <si>
    <t>221</t>
  </si>
  <si>
    <t>223</t>
  </si>
  <si>
    <t>Услуги по содержанию имущества</t>
  </si>
  <si>
    <t>225</t>
  </si>
  <si>
    <t>Прочие услуги</t>
  </si>
  <si>
    <t>226</t>
  </si>
  <si>
    <t>Транспортные услуги</t>
  </si>
  <si>
    <t>222</t>
  </si>
  <si>
    <t>310</t>
  </si>
  <si>
    <t>Резервные фонды местных администраций</t>
  </si>
  <si>
    <t>№ п/п</t>
  </si>
  <si>
    <t>Увеличение стоимости материальных запасов</t>
  </si>
  <si>
    <t>№ строки</t>
  </si>
  <si>
    <t>Налог на имущество физических лиц</t>
  </si>
  <si>
    <t>Земельный налог</t>
  </si>
  <si>
    <t>Иные межбюджетные трансферты</t>
  </si>
  <si>
    <t>0113</t>
  </si>
  <si>
    <t>0409</t>
  </si>
  <si>
    <t>11402053100000410</t>
  </si>
  <si>
    <t>11406025100000430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</si>
  <si>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</si>
  <si>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</si>
  <si>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</si>
  <si>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</si>
  <si>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</si>
  <si>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Обеспечение деятельности административных комиссий</t>
  </si>
  <si>
    <t>121</t>
  </si>
  <si>
    <t>244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</si>
  <si>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</si>
  <si>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100</t>
  </si>
  <si>
    <t>Закупка товаров, работ и услуг для государственных (муниципальных) нужд</t>
  </si>
  <si>
    <t>200</t>
  </si>
  <si>
    <t>240</t>
  </si>
  <si>
    <t>120</t>
  </si>
  <si>
    <t>(тыс.руб.)</t>
  </si>
  <si>
    <t>Непрограммные расходы</t>
  </si>
  <si>
    <t>Мероприятие "Сохранение и развитие автомобильных дорог общего пользования местного значения, находящихся в границах населённых пунктов муниципального образования «Казанцевский сельсовет»"</t>
  </si>
  <si>
    <t>Мероприятие "Комплексное решение проблем благоустройства, приведение освещенности в соответствие с требованиями, предъявляемыми к уровню наружного освещения мест общего пользования и увеличение протяженности освещенных улиц, дорог, создание условий для комфортного и безопасного проживания  жителей"</t>
  </si>
  <si>
    <t>Передача отдельных полномочий по исполнению бюджета</t>
  </si>
  <si>
    <t>540</t>
  </si>
  <si>
    <t>251</t>
  </si>
  <si>
    <t>10804020014000110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</si>
  <si>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(прочие поступления)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</si>
  <si>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</si>
  <si>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</si>
  <si>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</si>
  <si>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</si>
  <si>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Прочие неналоговые доходы бюджетов сельских поселений</t>
  </si>
  <si>
    <t>Код классификации доходов бюджета</t>
  </si>
  <si>
    <t>Наименование групп, подгрупп, статей, подстатей, элементов, подвидов доходов, кодов классификации операций сектора государственного управления, относящихся к доходам бюджетов</t>
  </si>
  <si>
    <t>код главного администратора</t>
  </si>
  <si>
    <t>код группы</t>
  </si>
  <si>
    <t>код подгруппы</t>
  </si>
  <si>
    <t>код статьи</t>
  </si>
  <si>
    <t>код подстатьи</t>
  </si>
  <si>
    <t>код элемента</t>
  </si>
  <si>
    <t>код подвида доходов</t>
  </si>
  <si>
    <t>код классификации операций сектора государственного управления, относящихся к доходам бюджетов</t>
  </si>
  <si>
    <t>НАЛОГОВЫЕ И НЕНАЛОГОВЫЕ ДОХОДЫ</t>
  </si>
  <si>
    <t>1</t>
  </si>
  <si>
    <t>00</t>
  </si>
  <si>
    <t>0000</t>
  </si>
  <si>
    <t>182</t>
  </si>
  <si>
    <t>01</t>
  </si>
  <si>
    <t>02</t>
  </si>
  <si>
    <t>110</t>
  </si>
  <si>
    <t>0505</t>
  </si>
  <si>
    <t>03</t>
  </si>
  <si>
    <t>05</t>
  </si>
  <si>
    <t>06</t>
  </si>
  <si>
    <t>в том числе:</t>
  </si>
  <si>
    <t>3.1</t>
  </si>
  <si>
    <t>3.2</t>
  </si>
  <si>
    <t>3.3</t>
  </si>
  <si>
    <t>3.4</t>
  </si>
  <si>
    <t>6.1</t>
  </si>
  <si>
    <t>6.2</t>
  </si>
  <si>
    <t>033</t>
  </si>
  <si>
    <t>10</t>
  </si>
  <si>
    <t>043</t>
  </si>
  <si>
    <t>08</t>
  </si>
  <si>
    <t>04</t>
  </si>
  <si>
    <t>020</t>
  </si>
  <si>
    <t>1000</t>
  </si>
  <si>
    <t>11</t>
  </si>
  <si>
    <t>351</t>
  </si>
  <si>
    <t>2</t>
  </si>
  <si>
    <t>БЕЗВОЗМЕЗДНЫЕ ПОСТУПЛЕНИЯ</t>
  </si>
  <si>
    <t>807</t>
  </si>
  <si>
    <t>001</t>
  </si>
  <si>
    <t>999</t>
  </si>
  <si>
    <t>024</t>
  </si>
  <si>
    <t>Всего</t>
  </si>
  <si>
    <t>14</t>
  </si>
  <si>
    <t>053</t>
  </si>
  <si>
    <t>410</t>
  </si>
  <si>
    <t>025</t>
  </si>
  <si>
    <t>430</t>
  </si>
  <si>
    <t>Непрограммные расходы представительного органа</t>
  </si>
  <si>
    <t>Глава муниципального образования в рамках непрограммных расходов представительного органа</t>
  </si>
  <si>
    <t xml:space="preserve">Функционирование Совета депутатов Казанцевского сельсовета </t>
  </si>
  <si>
    <t>Непрограммные расходы Администрации Казанцевского сельсовета</t>
  </si>
  <si>
    <t>Другие общегосударственные вопросы</t>
  </si>
  <si>
    <t>Непрограммные расходы администрации Казанцевского сельсовета</t>
  </si>
  <si>
    <t>НАЦИОНАЛЬНАЯ ОБОРОНА</t>
  </si>
  <si>
    <t>0200</t>
  </si>
  <si>
    <t>Мобилизационная и вневойсковая подготовка</t>
  </si>
  <si>
    <t>НАЦИОНАЛЬНАЯ ЭКОНОМИКА</t>
  </si>
  <si>
    <t>0400</t>
  </si>
  <si>
    <t>Дорожное хозяйство (дорожные фонды)</t>
  </si>
  <si>
    <t>ЖИЛИЩНО-КОММУНАЛЬНОЕ ХОЗЯЙСТВО</t>
  </si>
  <si>
    <t>Благоустройство</t>
  </si>
  <si>
    <t>КУЛЬТУРА, КИНЕМАТОГРАФИЯ</t>
  </si>
  <si>
    <t/>
  </si>
  <si>
    <t>Мероприятие «Капитальный ремонт и восстановление дорожных покрытий»</t>
  </si>
  <si>
    <t>Иные закупки товаров, работ и услуг для обеспечения государственных (муниципальных) нужд</t>
  </si>
  <si>
    <t>Расходы на выплаты персоналу государственных (муниципальных) органов</t>
  </si>
  <si>
    <t>Руководство и управление в сфере установленных функций органов местного самоуправления в рамках непрограммных расходов администрации Казанцевского сельсовета</t>
  </si>
  <si>
    <t xml:space="preserve">Осуществление расходов по созданию и обеспечению деятельности административных комиссий </t>
  </si>
  <si>
    <t>Осуществление первичного воинского учета на территориях, где отсутствуют военные комиссариаты в рамках непрограммных расходов администрации Казанцевского сельсовета</t>
  </si>
  <si>
    <t>500</t>
  </si>
  <si>
    <t>Межбюджетные трансферты</t>
  </si>
  <si>
    <t>850</t>
  </si>
  <si>
    <t>Уплата налогов, сборов и иных платежей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</si>
  <si>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(сумма платежа (перерасчеты, недоимка и задолженность по соответствующем платежу, в том числе по отмененному)</t>
  </si>
  <si>
    <t>7514</t>
  </si>
  <si>
    <t>6100080210</t>
  </si>
  <si>
    <t>6200080220</t>
  </si>
  <si>
    <t>6300080210</t>
  </si>
  <si>
    <t>6300080620</t>
  </si>
  <si>
    <t>129</t>
  </si>
  <si>
    <t>853</t>
  </si>
  <si>
    <t>0200000000</t>
  </si>
  <si>
    <t>6400075140</t>
  </si>
  <si>
    <t>6400051180</t>
  </si>
  <si>
    <t>122</t>
  </si>
  <si>
    <t>0110080010</t>
  </si>
  <si>
    <t>0100000000</t>
  </si>
  <si>
    <t>0120080000</t>
  </si>
  <si>
    <t>0120080010</t>
  </si>
  <si>
    <t>0120080020</t>
  </si>
  <si>
    <t>0110000000</t>
  </si>
  <si>
    <t>0120000000</t>
  </si>
  <si>
    <t>7412</t>
  </si>
  <si>
    <t>НАЦИОНАЛЬНАЯ БЕЗОПАСНОСТЬ И ПРАВООХРАНИТЕЛЬНАЯ ДЕЯТЕЛЬНОСТЬ</t>
  </si>
  <si>
    <t>0310</t>
  </si>
  <si>
    <t>СОЦИАЛЬНОЕ ОБЕСПЕЧЕНИЕ</t>
  </si>
  <si>
    <t>Социальные выплаты гражданам</t>
  </si>
  <si>
    <t>Пособие по социальной помощи населению</t>
  </si>
  <si>
    <t>6400091190</t>
  </si>
  <si>
    <t>300</t>
  </si>
  <si>
    <t>360</t>
  </si>
  <si>
    <t>262</t>
  </si>
  <si>
    <t>0300</t>
  </si>
  <si>
    <t>0210000000</t>
  </si>
  <si>
    <t>831</t>
  </si>
  <si>
    <t>15</t>
  </si>
  <si>
    <t>30</t>
  </si>
  <si>
    <t>49</t>
  </si>
  <si>
    <t>40</t>
  </si>
  <si>
    <t>9135</t>
  </si>
  <si>
    <t>Доходы бюджетов сельских поселений от возврата бюджетными учреждениями остатков субсидий прошлых лет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</si>
  <si>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</si>
  <si>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 xml:space="preserve">Муниципальная программа «Обеспечение жизнедеятельности, противодействие коррупции на территории муниципального образования «Казанцевский сельсовет» </t>
  </si>
  <si>
    <t xml:space="preserve">Сохранение протяженности, соответствующей нормативным требованиям, внутрипоселковых автомобильных дорог за счет проведения капитального ремонта и восстановления дорожных покрытий в рамках мероприятия «Капитальный ремонт и восстановление дорожных покрытий» муниципальной программы «Обеспечение жизнедеятельности, противодействие коррупции на территории муниципального образования «Казанцевский сельсовет» </t>
  </si>
  <si>
    <t>Мероприятие "Обеспечение противопожарной безопасности"</t>
  </si>
  <si>
    <t>227</t>
  </si>
  <si>
    <t>Страхование</t>
  </si>
  <si>
    <t>296</t>
  </si>
  <si>
    <t>Иные расходы</t>
  </si>
  <si>
    <t>Культура</t>
  </si>
  <si>
    <t>Непрограммные расходы на частичное возмещение расходов по созданию условий для организации досуга и обеспечения жителей поселения услугами организаций культуры</t>
  </si>
  <si>
    <t>6400000000</t>
  </si>
  <si>
    <t>Функционирование учреждений культуры</t>
  </si>
  <si>
    <t>Межбюджетные трансферты на частичное возмещение расходов по созданию условий для организации досуга и обеспечения жителей поселения услугами организаций культуры</t>
  </si>
  <si>
    <t xml:space="preserve">Межбюджетные трансферты </t>
  </si>
  <si>
    <t>Резервные фонды</t>
  </si>
  <si>
    <t>0111</t>
  </si>
  <si>
    <t>Повышение эффективности деятельности
Администрации Казанцевского сельсовета</t>
  </si>
  <si>
    <t>Формирование и использование средств резервных
фондов</t>
  </si>
  <si>
    <t>Иные бюджетные ассигнования</t>
  </si>
  <si>
    <t>Резервные средства</t>
  </si>
  <si>
    <t>Функционирование Администрации Казанцевского сельсовета</t>
  </si>
  <si>
    <t>6400080220</t>
  </si>
  <si>
    <t>0800</t>
  </si>
  <si>
    <t>800</t>
  </si>
  <si>
    <t>870</t>
  </si>
  <si>
    <t>6400080000</t>
  </si>
  <si>
    <t>Софинансирование. Услуги по содержанию имущества</t>
  </si>
  <si>
    <t>Другие вопросы в области национальной безопасности и правоохранительной деятельности</t>
  </si>
  <si>
    <t>0314</t>
  </si>
  <si>
    <t>6300080220</t>
  </si>
  <si>
    <t>02100S4120</t>
  </si>
  <si>
    <t>7601</t>
  </si>
  <si>
    <t xml:space="preserve">Доплаты к пенсиям государственных служащих субъектов Российской Федерации и муниципальных служащих </t>
  </si>
  <si>
    <t>Пенсия за выслугу лет</t>
  </si>
  <si>
    <t>Публичные нормативные социальные выплаты гражданам</t>
  </si>
  <si>
    <t>СОЦИАЛЬНАЯ ПОЛИТИКА</t>
  </si>
  <si>
    <t>Пенсионное обеспечение</t>
  </si>
  <si>
    <t>1001</t>
  </si>
  <si>
    <t>6300000000</t>
  </si>
  <si>
    <t>Социальное обеспечение и иные выплаты населению</t>
  </si>
  <si>
    <t>20215001109134150</t>
  </si>
  <si>
    <t>20215001107601150</t>
  </si>
  <si>
    <t>20235118100000150</t>
  </si>
  <si>
    <t>20230024107514150</t>
  </si>
  <si>
    <t>20249999109135150</t>
  </si>
  <si>
    <t>20249999109119150</t>
  </si>
  <si>
    <t>21805010100000150</t>
  </si>
  <si>
    <t>21960010100000150</t>
  </si>
  <si>
    <t>150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</si>
  <si>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</si>
  <si>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</si>
  <si>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231</t>
  </si>
  <si>
    <t>241</t>
  </si>
  <si>
    <t>261</t>
  </si>
  <si>
    <t>264</t>
  </si>
  <si>
    <t>0412</t>
  </si>
  <si>
    <t>6400080210</t>
  </si>
  <si>
    <t>Другие вопросы в области национальной экономики</t>
  </si>
  <si>
    <t>6400080230</t>
  </si>
  <si>
    <t>11302995100000130</t>
  </si>
  <si>
    <t>Прочие доходы от компенсаций затрат бюджетов сельских поселений</t>
  </si>
  <si>
    <t>13</t>
  </si>
  <si>
    <t>995</t>
  </si>
  <si>
    <t>130</t>
  </si>
  <si>
    <t>6100000000</t>
  </si>
  <si>
    <t>6200000000</t>
  </si>
  <si>
    <t>Социальные выплаты</t>
  </si>
  <si>
    <t>266</t>
  </si>
  <si>
    <t>295</t>
  </si>
  <si>
    <t>Налоги, пошлины, сборы, санкции</t>
  </si>
  <si>
    <t>Расходы на 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</t>
  </si>
  <si>
    <t>Процент исполнения</t>
  </si>
  <si>
    <t>(тыс. рублей)</t>
  </si>
  <si>
    <t>Наименование показателя бюджетной классификации</t>
  </si>
  <si>
    <t>Раздел-подраздел</t>
  </si>
  <si>
    <t>3</t>
  </si>
  <si>
    <t>4</t>
  </si>
  <si>
    <t>5</t>
  </si>
  <si>
    <t>ОБЩЕГОСУДАРСТВЕННЫЕ ВОПРОСЫ</t>
  </si>
  <si>
    <t>Функционирование высшего должностного лица субъекта Российской  Федерации и муниципального образования</t>
  </si>
  <si>
    <t>Обеспечение пожарной безопасности</t>
  </si>
  <si>
    <t>СОЦИАЛЬНОЕ ОБЕСПЕЧЕНИЕ НАСЕЛЕНИЯ</t>
  </si>
  <si>
    <t>ВСЕГО</t>
  </si>
  <si>
    <t>6</t>
  </si>
  <si>
    <t>Предоставление дотаций на выравнивание бюджетной обеспеченности поселений района за счет собственных средств районного бюджета в рамках подпрограммы "Создание условий для эффективного и ответственного управления муниципальными финансами, повышения устойчивости бюджетов поселений Шушенского района, содействие повышению качества управления муниципальными финансами поселений района" муниципальной программы Шушенского района "Управление муниципальными финансами"</t>
  </si>
  <si>
    <t>Предоставление дотаций на выравнивание бюджетной обеспеченности поселений района за счет средств субвенции на реализацию государственных полномочий по расчету и предоставлению дотаций на выравнивание бюджетной обеспеченности поселениям, входящим в состав муниципального района края в рамках подпрограммы "Создание условий для эффективного и ответственного управления муниципальными финансами, повышения устойчивости бюджетов поселений Шушенского района, содействие повышению качества управления муниципальными финансами поселений района" муниципальной программы Шушенского района "Управление муниципальными финансами"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</si>
  <si>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</si>
  <si>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выполнение передаваемых полномочий субъектов Российской Федерации (Выполнение государственных полномочий по созданию и обеспечению деятельности административных комиссий в рамках непрограммных расходов финансового управления администрации Шушенского района)</t>
  </si>
  <si>
    <t>Предоставление межбюджетных трансфертов поселениям района на поддержку мер по обеспечению сбалансированности бюджетов поселений района в рамках подпрограммы "Создание условий для эффективного и ответственного управления муниципальными финансами, повышения устойчивости бюджетов поселений Шушенского района, содействие повышению качества управления муниципальными финансами поселений района" муниципальной программы Шушенского района "Управление муниципальными финансами"</t>
  </si>
  <si>
    <t xml:space="preserve">Земельный налог с организации, обладающих земельным участком, расположенным в границах сельских поселений </t>
  </si>
  <si>
    <t>Земельный налог с физических лиц, обладающих земельным участком, расположенным в границах сельских поселений</t>
  </si>
  <si>
    <t>20</t>
  </si>
  <si>
    <t>35</t>
  </si>
  <si>
    <t>118</t>
  </si>
  <si>
    <t>16</t>
  </si>
  <si>
    <t xml:space="preserve">Неисполненные назначения </t>
  </si>
  <si>
    <t>Муниципальная программа «Обеспечение жизнедеятельности, противодействие коррупции на территории муниципального образования «Казанцевский сельсовет» на 2020-2022 годы»</t>
  </si>
  <si>
    <t>Мероприятие «Комплексное решение проблем благоустройства, приведение освещенности в соответсвие с требованиями, предъявленными к уровню наружного освещения мест общего пользования и увелечение протяженности освещенных улиц, дорог, создание условий для комфортного и безопасного проживания жителей»</t>
  </si>
  <si>
    <t xml:space="preserve">Содержание объектов уличного освещения в рамках мероприятия «Комплексное решение проблем благоустройства, приведение освещенности в соответсвие с требованиями, предъявленными к уровню наружного освещения мест общего пользования и увелечение протяженности освещенных улиц, дорог, создание условий для комфортного и безопасного проживания жителей» муниципальной программы «Обеспечение жизнедеятельности, противодействие коррупции на территории муниципального образования «Казанцевский сельсовет» </t>
  </si>
  <si>
    <t xml:space="preserve">Организация работ по благоустройству территории МО "Казанцевский сельсовет" «Комплексное решение проблем благоустройства, приведение освещенности в соответсвие с требованиями, предъявленными к уровню наружного освещения мест общего пользования и увелечение протяженности освещенных улиц, дорог, создание условий для комфортного и безопасного проживания жителей» муниципальной программы "Обеспечение жизнедеятельности, противодействие коррупции на территории муниципального образования "Казанцевски сельсовет" </t>
  </si>
  <si>
    <t>Создание условий для повышения и развития противопожарной безопасности</t>
  </si>
  <si>
    <t>02100S0010</t>
  </si>
  <si>
    <t>Расходы на выплаты работников бюджетной сферы не ниже размера минимальной заработной платы (минимального размера оплаты труда)</t>
  </si>
  <si>
    <t>Резервный фонд администрации в рамках непрограммных расходов администрации Казанцевского сельсовета</t>
  </si>
  <si>
    <t>Расходы на мероприятия в области национальной безопасности деятельности администрации Казанцевского сельсовета в рамках непрограммных расходов Администрации Казанцевского сельсовета</t>
  </si>
  <si>
    <t>6300080000</t>
  </si>
  <si>
    <t>код</t>
  </si>
  <si>
    <t>Наименование кода группы, подгруппы, статьи, вида источника финансирования дефицита бюджета, кода классификации операций сектора государственного управления, относящихся к источникам финансирования дефицитов бюджетов Российской Федерации</t>
  </si>
  <si>
    <t>7</t>
  </si>
  <si>
    <t>8</t>
  </si>
  <si>
    <t>9</t>
  </si>
  <si>
    <t>12</t>
  </si>
  <si>
    <t>17</t>
  </si>
  <si>
    <t>18</t>
  </si>
  <si>
    <t>19</t>
  </si>
  <si>
    <t>21</t>
  </si>
  <si>
    <t>22</t>
  </si>
  <si>
    <t>23</t>
  </si>
  <si>
    <t>807 0102 00 00 00 0000 000</t>
  </si>
  <si>
    <t>807 0102 00 00 00 0000 700</t>
  </si>
  <si>
    <t>807 0102 00 00 05 0000 710</t>
  </si>
  <si>
    <t>807 0102 00 00 00 0000 800</t>
  </si>
  <si>
    <t>807 0102 00 00 05 0000 810</t>
  </si>
  <si>
    <t>807 01 05 00 00 00 0000 000</t>
  </si>
  <si>
    <t>807 01 05 00 00 00 0000 500</t>
  </si>
  <si>
    <t>807 01 06 05 02 00 0000 540</t>
  </si>
  <si>
    <t>807 01 06 05 00 00 0000 500</t>
  </si>
  <si>
    <t>807 01 06 05 02 05 0000 640</t>
  </si>
  <si>
    <t>807 01 06 05 02 00 0000 640</t>
  </si>
  <si>
    <t>807 01 06 05 01 05 0000 640</t>
  </si>
  <si>
    <t>807 01 06 05 01 00 0000 640</t>
  </si>
  <si>
    <t>807 01 06 05 00 00 0000 600</t>
  </si>
  <si>
    <t>807 01 06 05 00 00 0000 000</t>
  </si>
  <si>
    <t>807 01 06 00 00 00 0000 000</t>
  </si>
  <si>
    <t>807 01 05 02 01 05 0000 610</t>
  </si>
  <si>
    <t>807 01 05 02 01 00 0000 610</t>
  </si>
  <si>
    <t>807 01 05 02 00 00 0000 500</t>
  </si>
  <si>
    <t>807 01 05 02 01 00 0000 510</t>
  </si>
  <si>
    <t>807 01 05 02 01 05 0000 510</t>
  </si>
  <si>
    <t>807 01 05 00 00 00 0000 600</t>
  </si>
  <si>
    <t>807 01 05 02 00 00 0000 600</t>
  </si>
  <si>
    <t>Кредиты кредитных организаций в валюте Российской Федерации</t>
  </si>
  <si>
    <t>Получение кредитов от кредитных организаций в валюте Российской Федерации</t>
  </si>
  <si>
    <t>Получение  кредитов от кредитных организаций бюджетами муниципальных районов в валюте Российской Федерации</t>
  </si>
  <si>
    <t>Погашение кредитов, предоставленных кредитными организациями  в валюте Российской Федерации</t>
  </si>
  <si>
    <t>Погашение  бюджетами муниципальных районов кредитов от кредитных организаций  в валюте Российской Федерации</t>
  </si>
  <si>
    <t>Изменение остатков средств на счетах по учету средств бюджета</t>
  </si>
  <si>
    <t>Увеличение остатков финансовых резервов 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</si>
  <si>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</si>
  <si>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</si>
  <si>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Увеличение прочих остатков денежных средств бюджетов муниципальных районов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</si>
  <si>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</si>
  <si>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</si>
  <si>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</si>
  <si>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муниципальных районов</t>
  </si>
  <si>
    <t xml:space="preserve">Иные источники внутреннего финансирования дефицитов бюджетов </t>
  </si>
  <si>
    <t>Бюджетные кредиты, предоставленные внутри страны в валюте Российской Федерации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</si>
  <si>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</si>
  <si>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юридическим лицам в валюте Российской Федерации</t>
  </si>
  <si>
    <t>Возврат бюджетных кредитов, предоставленных юридическим лицам из бюджетов муниципальных районов в валюте Российской Федерации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</si>
  <si>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</si>
  <si>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</si>
  <si>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Предоставление бюджетных кредитов внутри страны в валюте Российской Федерации</t>
  </si>
  <si>
    <t>Предоставление бюджетных кредитов другим бюджетам бюджетной системы Российской Федерации из федерального бюджета  в валюте Российской Федерации</t>
  </si>
  <si>
    <t>(руб.)</t>
  </si>
  <si>
    <t>11602020020000140</t>
  </si>
  <si>
    <t>20249999107745150</t>
  </si>
  <si>
    <t>Прочие межбюджетные трансферты, передаваемые бюджетам сельских поселений (Предоставление средств за содействие развитию налогового потенциала)</t>
  </si>
  <si>
    <t>20249999109235150</t>
  </si>
  <si>
    <t>9134</t>
  </si>
  <si>
    <t>6300092350</t>
  </si>
  <si>
    <t>Суточные при командировках</t>
  </si>
  <si>
    <t>Командировочные расходы</t>
  </si>
  <si>
    <t>212</t>
  </si>
  <si>
    <t>247</t>
  </si>
  <si>
    <t>297</t>
  </si>
  <si>
    <t>Социальное обеспечение населения</t>
  </si>
  <si>
    <t>1003</t>
  </si>
  <si>
    <t>320</t>
  </si>
  <si>
    <t>Единовременная материальная помощь населению</t>
  </si>
  <si>
    <t xml:space="preserve">                                                  к Решению Казанцевского сельского Совета депутатов</t>
  </si>
  <si>
    <t xml:space="preserve">    к Решению Казанцевского сельского Совета депутатов</t>
  </si>
  <si>
    <t>Субвенция на реализацию Закона края от 23 апреля 2009 года №8-3170 "О наделении ОМС МО края государственными полномочиями по созданию и обеспечению деятельности Административных комиссий</t>
  </si>
  <si>
    <t>050</t>
  </si>
  <si>
    <t>180</t>
  </si>
  <si>
    <t>Невыясненные поступления, зачисляемые в бюджеты поселений</t>
  </si>
  <si>
    <t>0310080010</t>
  </si>
  <si>
    <t>Выполнение других обязательст государства</t>
  </si>
  <si>
    <t>Административные штрафы</t>
  </si>
  <si>
    <t>6400080240</t>
  </si>
  <si>
    <r>
      <rPr>
        <sz val="10"/>
        <color indexed="8"/>
        <rFont val="Times New Roman"/>
        <family val="1"/>
        <charset val="204"/>
      </rPr>
      <t xml:space="preserve">Мероприятие "Информирование жителей Казанцевского сельсовета о </t>
    </r>
    <r>
      <rPr>
        <b/>
        <sz val="10"/>
        <color indexed="8"/>
        <rFont val="Times New Roman"/>
        <family val="1"/>
        <charset val="204"/>
      </rPr>
      <t>п</t>
    </r>
    <r>
      <rPr>
        <sz val="10"/>
        <color indexed="8"/>
        <rFont val="Times New Roman"/>
        <family val="1"/>
        <charset val="204"/>
      </rPr>
      <t>орядке действий при угрозе возникновения террористических актов, посредством размещения информации в средствах массовой информации"</t>
    </r>
  </si>
  <si>
    <t>0300000000</t>
  </si>
  <si>
    <t>0310000000</t>
  </si>
  <si>
    <t>Мероприятие "Информирование жителей Казанцевского сельсовета о порядке действий при угрозе возникновения террористических актов, посредством размещения информации в средствах массовой информации"</t>
  </si>
  <si>
    <t xml:space="preserve">                                                  Приложение № 1</t>
  </si>
  <si>
    <t xml:space="preserve">                      Приложение № 3</t>
  </si>
  <si>
    <t xml:space="preserve">                    Приложение № 4</t>
  </si>
  <si>
    <t>11607090100000140</t>
  </si>
  <si>
    <t>852</t>
  </si>
  <si>
    <t>Государственная пошлина</t>
  </si>
  <si>
    <t>291</t>
  </si>
  <si>
    <t>Иные выплаты текущего характера</t>
  </si>
  <si>
    <t xml:space="preserve">Муниципальная программа "Обеспечение пожарной безопасности на территории муниципального образования "Казанцевски сельсовет"  </t>
  </si>
  <si>
    <t xml:space="preserve">Муниципальная программа "Профилактика терроризма и экстремизма, а также минимизация и (или) ликвидация последствий проявления терроризма и экстремизма на территории МО "Казанцевский сельсовет" </t>
  </si>
  <si>
    <t xml:space="preserve">                                                  Приложение № 2</t>
  </si>
  <si>
    <t xml:space="preserve"> к Решению Казанцевского сельского Совета депутатов</t>
  </si>
  <si>
    <t xml:space="preserve">                                                                                                      к Решению Казанцевского сельского Совета депутатов </t>
  </si>
  <si>
    <t xml:space="preserve">                                                             к Решению Казанцевского сельского Совета депутатов</t>
  </si>
  <si>
    <t>Административные штрафы, установленные законами субъектами Российской Федерации об административных правонарушениях, за нарушение муниципальных правовых актов</t>
  </si>
  <si>
    <t>Иные штрафы, неустойки,пени, уплаченные в соответствии с законом или договором в случае неисполнения или ненадлежащего исполнения обязательств перед муниципальным органом,(муниципальным казенным учреждением) сельского поселения</t>
  </si>
  <si>
    <t>11801520100000150</t>
  </si>
  <si>
    <t>Перечисления из бюджетов сельских поселений по решениям о взыскании средств</t>
  </si>
  <si>
    <t>11802500100000150</t>
  </si>
  <si>
    <t>Поступления в бюджеты сельских поселений (перечисления из бюджетов сельских поселений) по урегулированию расчетов между бюджетами бюджетной системы Российской Федерации по распределенным доходам</t>
  </si>
  <si>
    <t>Прочие межбюджетные трансферты, передаваемые бюджетам сельских поселений (региональные выплаты и выплаты, обеспечивающие уровень зароботной платы работников бюджетной сферы не ниже размера минимальной зароботной платы (минимального размера оплата труда) в рамках непрограммных расходов администрации Шушенского района)</t>
  </si>
  <si>
    <t>20249999109179150</t>
  </si>
  <si>
    <t>Прочие межбюджетные трансферты, передаваемые бюджетам сельских поселений (Расходы на содержание автомобильных дорог общего пользования местного значения)</t>
  </si>
  <si>
    <t>20249999107412150</t>
  </si>
  <si>
    <t>Прочие межбюджетные трансферты, передаваемые бюджетам сельских поселений (Расходы на обеспечение первичных мер пожарной безопасности в рамках отдельных мероприятий муниципальной программы Шушенского района "Защита населения и территорий Шушенского района от чрезвычайных ситуаций природного и техногенного характера")</t>
  </si>
  <si>
    <t>Иные межбюджетные трансферты на содержание автомобильных дорог общего пользования местного значения</t>
  </si>
  <si>
    <t>Муниципальная программа "Профилактика терроризма и экстремизма, а также минимизация и (или) ликвидация последствий проявления терроризма и экстремизма на территории муниципального образования Казанцевский сельсовет" на 2022 год и плановый период 2023-2024 годов"</t>
  </si>
  <si>
    <t>Муниципальная программа «Обеспечение пожарной безопасности на территории муниципального образования «Казанцевский сельсовет» на 2021-2023 гг."</t>
  </si>
  <si>
    <t>0110091790</t>
  </si>
  <si>
    <t>9179</t>
  </si>
  <si>
    <t>Софинансирование. Увеличение стоимости материальных запасов</t>
  </si>
  <si>
    <t>Расходы на благоустройство в рамках непрограммных расходов Администрации Казанцевского сельсовета</t>
  </si>
  <si>
    <t>11715030100001150</t>
  </si>
  <si>
    <t>Инициативные платежи, зачисляемые в бюджеты сельских поселений (поддержка местных инициатив от юридических лиц и индивидуальных предпринимателей)</t>
  </si>
  <si>
    <t>11715030100002150</t>
  </si>
  <si>
    <t>Инициативные платежи, зачисляемые в бюджеты сельских поселений (поддержка местных инициатив от физических лиц)</t>
  </si>
  <si>
    <t xml:space="preserve">                                                                                                                                  к Решению Казанцевского сельского Совета депутатов</t>
  </si>
  <si>
    <t xml:space="preserve">                                Приложение № 5</t>
  </si>
  <si>
    <t>17.1</t>
  </si>
  <si>
    <t>18.1</t>
  </si>
  <si>
    <t>9119</t>
  </si>
  <si>
    <t>Субсидии бюджетам бюджетной системы Российской Федерации (межбюджетные трансферты). Резервный фонд Адмнистрации района</t>
  </si>
  <si>
    <t>Прочие вопросы в области благоустройства</t>
  </si>
  <si>
    <t>Уплата иных платежей</t>
  </si>
  <si>
    <t>Утвержденные денежные средства по состоянию на 01.01.2023</t>
  </si>
  <si>
    <t>Утвержденные бюджетные назначения на 2023 г.</t>
  </si>
  <si>
    <t>065</t>
  </si>
  <si>
    <t>Доходы,  поступающие в порядке возмещения расходов, понесенных в связи с эксплуатацией имущества сельских поселений</t>
  </si>
  <si>
    <t>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</si>
  <si>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</si>
  <si>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17.2.</t>
  </si>
  <si>
    <t>18.2</t>
  </si>
  <si>
    <t>19.1</t>
  </si>
  <si>
    <t>19.2.</t>
  </si>
  <si>
    <t>19.3</t>
  </si>
  <si>
    <t>19.4</t>
  </si>
  <si>
    <t>19.5</t>
  </si>
  <si>
    <t>2023</t>
  </si>
  <si>
    <t>Невыясненные поступления, зачисляемые в бюджеты сельских поселений</t>
  </si>
  <si>
    <t>1 17 15030 10 0001 150</t>
  </si>
  <si>
    <t>1 17 15030 10 0002 150</t>
  </si>
  <si>
    <t>20229999101049150</t>
  </si>
  <si>
    <t>Прочие субсидии бюджетам сельских поселений (Региональные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непрограммных расходов финансового управления администрации Шушенского района)</t>
  </si>
  <si>
    <t>20229999107412150</t>
  </si>
  <si>
    <t>Прочие субсидии бюджетам сельских поселений (Расходы на обеспечение первичных мер пожарной безопасности в рамках отдельных мероприятий муниципальной программы Шушенского района "Защита населения и территорий Шушенского района от чрезвычайных ситуаций природного и техногенного характера")</t>
  </si>
  <si>
    <t>20229999107509150</t>
  </si>
  <si>
    <t>Прочие субсидии бюджетам сельских поселений (Расходы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"Дороги Шушенского района" муниципальной программы Шушенского района "Развитие транспортной системы")</t>
  </si>
  <si>
    <t>20229999107508150</t>
  </si>
  <si>
    <t>Прочие субсидии бюджетам сельских поселений (Субсидии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системы»)</t>
  </si>
  <si>
    <t>Прочие межбюджетные трансферты, передаваемые бюджетам сельских поселений (Расходы на обеспечение первичных мер пожарной безопасности в рамках отдельных мероприятй муниципальной программы Шушенского района "Защита населения и территорий Шушенского района от чрезвычайных ситуаций природного и техногенного характера")</t>
  </si>
  <si>
    <t>20249999107508150</t>
  </si>
  <si>
    <t>Прочие межбюджетные трансферты, передаваемые бюджетам сельских поселений (на содержание автомобильных дорог общего пользования местного значения за счет средств дорожного фонда Красноярского края)</t>
  </si>
  <si>
    <t>11302065100000130</t>
  </si>
  <si>
    <t>Доходы, поступающие в порядке возмещения расходов, понесенных в связи с эксплуатацией имущества сельских поселений</t>
  </si>
  <si>
    <t>20249999109300150</t>
  </si>
  <si>
    <t>Прочие межбюджетные трансферты, передаваемые бюджетам сельских поселений (на увеличение (индексация) оплаты труда отдельным категориям работников бюджетной сферы поселений в 2022 году)</t>
  </si>
  <si>
    <t>19.6</t>
  </si>
  <si>
    <t>19.7</t>
  </si>
  <si>
    <t>7745</t>
  </si>
  <si>
    <t xml:space="preserve"> Прочие межбюджетные трансферты, передаваемые бюджетам сельских поселений (Предоставление средств за содействие развитию налогового потениала)</t>
  </si>
  <si>
    <t>9300</t>
  </si>
  <si>
    <t>Прочие межбюджетные трансферты, передаваемые бюджетам сельских поселений (на увеличение (индексацию) оплаты труда отдельным категориям работников бюджетной сферы поселений в 2022 году)</t>
  </si>
  <si>
    <t>6100093000</t>
  </si>
  <si>
    <t>6200093000</t>
  </si>
  <si>
    <t>6300093000</t>
  </si>
  <si>
    <t>6400093000</t>
  </si>
  <si>
    <t>6400077450</t>
  </si>
  <si>
    <t>Расходы на увеличение (индексацию) оплаты труда отдельным категориям работников бюджетной сферы поселений в 2022 году</t>
  </si>
  <si>
    <t>Расходы на увеличение (индексацию) оплаты труда отдельным категориям работников бюджетной сферы поселений в 2022 году)</t>
  </si>
  <si>
    <t xml:space="preserve">                                                                                                                     Приложение № 6</t>
  </si>
  <si>
    <t xml:space="preserve">                                                                    Приложение № 7</t>
  </si>
  <si>
    <t>Кассовые расходы по состоянию на 01.10.2023</t>
  </si>
  <si>
    <t>Денежные средства на счете по состоянию на 01.10.2023</t>
  </si>
  <si>
    <t xml:space="preserve">Отчет об использовании средств резервного фонда
на  01.10.2023
</t>
  </si>
  <si>
    <t>Перечень главных администраторов доходов бюджета поселения за 9 месяцев 2023 г.</t>
  </si>
  <si>
    <t>Источники внутреннего финансирования дефицита бюджета Казанцевского сельсовета на 01.10.2023 г.</t>
  </si>
  <si>
    <t>Распределение расходов бюджета по разделам и подразделам классификации расходов бюджета за 9 месяцев 2023 г.</t>
  </si>
  <si>
    <t>Уточненные бюджетные назначения на 01.10.2023 г.</t>
  </si>
  <si>
    <t>Исполнено на 01.10.2023 г.</t>
  </si>
  <si>
    <t>Доходы бюджета Казанцевского сельсовета за 9 месяцев 2023 г.</t>
  </si>
  <si>
    <t>Ведомственная структура расходов бюджета Казанцевского сельсовета за 9 месяцев 2023 г.</t>
  </si>
  <si>
    <t>Распределение бюджетных ассигнований по целевым статьям (муниципальным программам Казанцевского сельсовета и непрограмным направлениям деятельности), группам и подгруппам видов расходов, разделам, подразделам классификации расходов бюджета Казанцевского сельсовета за 9 месяцев 2023 г.</t>
  </si>
  <si>
    <t xml:space="preserve">                                                  от "20" декабря 2023 г. №  12-54</t>
  </si>
  <si>
    <t xml:space="preserve">                                                                                        от "20" декабря 2023 г. №  12-54</t>
  </si>
  <si>
    <t xml:space="preserve">                                      от "20" декабря 2023 г. №  12-54</t>
  </si>
  <si>
    <t xml:space="preserve">                                                       от "20" декабря 2023 г. №  12-54</t>
  </si>
  <si>
    <t xml:space="preserve">                                                                                                от "20" декабря 2023 г. №  12-54</t>
  </si>
  <si>
    <t xml:space="preserve">                                               от "20" декабря 2023 г. №  12-54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</si>
</sst>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#,##0.000"/>
    <numFmt numFmtId="165" formatCode="#,##0.0"/>
    <numFmt numFmtId="166" formatCode="0.0"/>
    <numFmt numFmtId="167" formatCode="#,##0_ ;[Red]\-#,##0\ "/>
    <numFmt numFmtId="168" formatCode="#,##0.0_ ;[Red]\-#,##0.0\ "/>
    <numFmt numFmtId="169" formatCode="#,##0.00_ ;[Red]\-#,##0.00\ "/>
    <numFmt numFmtId="170" formatCode="#,##0.00000"/>
  </numFmts>
  <fonts count="33" x14ac:knownFonts="1">
    <font>
      <sz val="10"/>
      <name val="Arial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0"/>
      <name val="Arial Cyr"/>
      <charset val="204"/>
    </font>
    <font>
      <sz val="10"/>
      <color rgb="FFFF0000"/>
      <name val="Times New Roman"/>
      <family val="1"/>
      <charset val="204"/>
    </font>
    <font>
      <sz val="10"/>
      <name val="Times New Roman Cyr"/>
      <charset val="204"/>
    </font>
    <font>
      <sz val="10"/>
      <color rgb="FF000000"/>
      <name val="Times New Roman"/>
      <family val="1"/>
      <charset val="204"/>
    </font>
    <font>
      <u/>
      <sz val="10"/>
      <name val="Times New Roman"/>
      <family val="1"/>
      <charset val="204"/>
    </font>
    <font>
      <i/>
      <u/>
      <sz val="10"/>
      <name val="Times New Roman Cyr"/>
      <charset val="204"/>
    </font>
    <font>
      <u/>
      <sz val="10"/>
      <color rgb="FF000000"/>
      <name val="Times New Roman"/>
      <family val="1"/>
      <charset val="204"/>
    </font>
    <font>
      <i/>
      <u/>
      <sz val="10"/>
      <color rgb="FF000000"/>
      <name val="Times New Roman"/>
      <family val="1"/>
      <charset val="204"/>
    </font>
    <font>
      <i/>
      <u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i/>
      <u/>
      <sz val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name val="Times New Roman Cyr"/>
      <family val="1"/>
      <charset val="204"/>
    </font>
    <font>
      <sz val="10"/>
      <name val="Arial Cyr"/>
      <charset val="204"/>
    </font>
    <font>
      <i/>
      <sz val="10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sz val="7"/>
      <name val="Times New Roman"/>
      <family val="1"/>
      <charset val="204"/>
    </font>
    <font>
      <sz val="6"/>
      <name val="Times New Roman"/>
      <family val="1"/>
      <charset val="204"/>
    </font>
    <font>
      <b/>
      <sz val="10"/>
      <name val="Times New Roman Cyr"/>
      <charset val="204"/>
    </font>
    <font>
      <sz val="10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i/>
      <u/>
      <sz val="10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/>
      <top style="medium">
        <color indexed="64"/>
      </top>
      <bottom/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21" fillId="0" borderId="0"/>
    <xf numFmtId="0" fontId="27" fillId="0" borderId="0"/>
  </cellStyleXfs>
  <cellXfs count="304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2" fillId="0" borderId="0" xfId="0" applyFont="1"/>
    <xf numFmtId="0" fontId="3" fillId="0" borderId="0" xfId="0" applyFont="1" applyAlignment="1">
      <alignment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center" vertical="top"/>
    </xf>
    <xf numFmtId="0" fontId="1" fillId="0" borderId="0" xfId="0" applyFont="1"/>
    <xf numFmtId="0" fontId="3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wrapText="1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164" fontId="3" fillId="0" borderId="0" xfId="0" applyNumberFormat="1" applyFont="1"/>
    <xf numFmtId="0" fontId="2" fillId="0" borderId="1" xfId="0" applyFont="1" applyBorder="1"/>
    <xf numFmtId="0" fontId="3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wrapText="1"/>
    </xf>
    <xf numFmtId="4" fontId="3" fillId="0" borderId="0" xfId="0" applyNumberFormat="1" applyFont="1"/>
    <xf numFmtId="0" fontId="3" fillId="0" borderId="1" xfId="0" applyFont="1" applyBorder="1" applyAlignment="1">
      <alignment horizontal="center"/>
    </xf>
    <xf numFmtId="49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justify" wrapText="1"/>
    </xf>
    <xf numFmtId="49" fontId="3" fillId="0" borderId="1" xfId="0" applyNumberFormat="1" applyFont="1" applyBorder="1"/>
    <xf numFmtId="165" fontId="3" fillId="0" borderId="1" xfId="0" applyNumberFormat="1" applyFont="1" applyBorder="1"/>
    <xf numFmtId="165" fontId="3" fillId="0" borderId="1" xfId="0" applyNumberFormat="1" applyFont="1" applyBorder="1" applyAlignment="1">
      <alignment horizontal="right"/>
    </xf>
    <xf numFmtId="165" fontId="2" fillId="0" borderId="1" xfId="0" applyNumberFormat="1" applyFont="1" applyBorder="1"/>
    <xf numFmtId="165" fontId="2" fillId="0" borderId="0" xfId="0" applyNumberFormat="1" applyFont="1"/>
    <xf numFmtId="165" fontId="8" fillId="0" borderId="1" xfId="0" applyNumberFormat="1" applyFont="1" applyBorder="1"/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49" fontId="3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wrapText="1"/>
    </xf>
    <xf numFmtId="0" fontId="3" fillId="0" borderId="1" xfId="0" applyFont="1" applyBorder="1" applyAlignment="1">
      <alignment vertical="top"/>
    </xf>
    <xf numFmtId="0" fontId="2" fillId="2" borderId="1" xfId="0" applyFont="1" applyFill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0" fontId="11" fillId="2" borderId="1" xfId="0" quotePrefix="1" applyFont="1" applyFill="1" applyBorder="1" applyAlignment="1">
      <alignment horizontal="left" vertical="top" wrapText="1"/>
    </xf>
    <xf numFmtId="49" fontId="11" fillId="2" borderId="1" xfId="0" applyNumberFormat="1" applyFont="1" applyFill="1" applyBorder="1" applyAlignment="1">
      <alignment wrapText="1"/>
    </xf>
    <xf numFmtId="49" fontId="12" fillId="2" borderId="1" xfId="0" applyNumberFormat="1" applyFont="1" applyFill="1" applyBorder="1" applyAlignment="1">
      <alignment horizontal="left" wrapText="1"/>
    </xf>
    <xf numFmtId="49" fontId="9" fillId="2" borderId="1" xfId="0" applyNumberFormat="1" applyFont="1" applyFill="1" applyBorder="1" applyAlignment="1">
      <alignment horizontal="center" vertical="top" wrapText="1"/>
    </xf>
    <xf numFmtId="49" fontId="3" fillId="2" borderId="1" xfId="0" applyNumberFormat="1" applyFont="1" applyFill="1" applyBorder="1" applyAlignment="1">
      <alignment horizontal="center" vertical="top"/>
    </xf>
    <xf numFmtId="0" fontId="15" fillId="0" borderId="1" xfId="0" applyFont="1" applyBorder="1" applyAlignment="1">
      <alignment horizontal="left" vertical="top" wrapText="1"/>
    </xf>
    <xf numFmtId="0" fontId="18" fillId="2" borderId="1" xfId="0" quotePrefix="1" applyFont="1" applyFill="1" applyBorder="1" applyAlignment="1">
      <alignment horizontal="left" vertical="top" wrapText="1"/>
    </xf>
    <xf numFmtId="0" fontId="18" fillId="2" borderId="1" xfId="0" applyFont="1" applyFill="1" applyBorder="1" applyAlignment="1">
      <alignment horizontal="center" vertical="center" wrapText="1"/>
    </xf>
    <xf numFmtId="49" fontId="18" fillId="2" borderId="1" xfId="0" applyNumberFormat="1" applyFont="1" applyFill="1" applyBorder="1" applyAlignment="1">
      <alignment horizontal="center" vertical="center" wrapText="1"/>
    </xf>
    <xf numFmtId="49" fontId="18" fillId="0" borderId="1" xfId="0" applyNumberFormat="1" applyFont="1" applyBorder="1" applyAlignment="1">
      <alignment horizontal="center" vertical="top" wrapText="1"/>
    </xf>
    <xf numFmtId="0" fontId="18" fillId="2" borderId="9" xfId="0" applyFont="1" applyFill="1" applyBorder="1" applyAlignment="1">
      <alignment horizontal="left" vertical="center" wrapText="1"/>
    </xf>
    <xf numFmtId="0" fontId="18" fillId="2" borderId="9" xfId="0" applyFont="1" applyFill="1" applyBorder="1" applyAlignment="1">
      <alignment horizontal="center" vertical="center" wrapText="1"/>
    </xf>
    <xf numFmtId="49" fontId="18" fillId="2" borderId="9" xfId="0" applyNumberFormat="1" applyFont="1" applyFill="1" applyBorder="1" applyAlignment="1">
      <alignment horizontal="center" vertical="center" wrapText="1"/>
    </xf>
    <xf numFmtId="49" fontId="18" fillId="0" borderId="9" xfId="0" applyNumberFormat="1" applyFont="1" applyBorder="1" applyAlignment="1">
      <alignment horizontal="center" vertical="top" wrapText="1"/>
    </xf>
    <xf numFmtId="49" fontId="16" fillId="0" borderId="1" xfId="0" applyNumberFormat="1" applyFont="1" applyBorder="1" applyAlignment="1">
      <alignment horizontal="center" vertical="top"/>
    </xf>
    <xf numFmtId="0" fontId="16" fillId="0" borderId="1" xfId="0" applyFont="1" applyBorder="1"/>
    <xf numFmtId="0" fontId="16" fillId="0" borderId="1" xfId="0" quotePrefix="1" applyFont="1" applyBorder="1"/>
    <xf numFmtId="0" fontId="16" fillId="0" borderId="1" xfId="0" applyFont="1" applyBorder="1" applyAlignment="1">
      <alignment wrapText="1"/>
    </xf>
    <xf numFmtId="0" fontId="17" fillId="0" borderId="1" xfId="0" applyFont="1" applyBorder="1"/>
    <xf numFmtId="49" fontId="16" fillId="0" borderId="1" xfId="0" applyNumberFormat="1" applyFont="1" applyBorder="1" applyAlignment="1">
      <alignment horizontal="center"/>
    </xf>
    <xf numFmtId="0" fontId="17" fillId="0" borderId="1" xfId="0" applyFont="1" applyBorder="1" applyAlignment="1">
      <alignment wrapText="1"/>
    </xf>
    <xf numFmtId="0" fontId="20" fillId="2" borderId="1" xfId="0" applyFont="1" applyFill="1" applyBorder="1" applyAlignment="1">
      <alignment horizontal="left" wrapText="1"/>
    </xf>
    <xf numFmtId="0" fontId="2" fillId="0" borderId="1" xfId="0" applyFont="1" applyBorder="1" applyAlignment="1">
      <alignment wrapText="1"/>
    </xf>
    <xf numFmtId="165" fontId="3" fillId="0" borderId="0" xfId="0" applyNumberFormat="1" applyFont="1"/>
    <xf numFmtId="165" fontId="3" fillId="0" borderId="1" xfId="0" applyNumberFormat="1" applyFont="1" applyBorder="1" applyAlignment="1">
      <alignment vertical="top"/>
    </xf>
    <xf numFmtId="4" fontId="3" fillId="0" borderId="1" xfId="0" applyNumberFormat="1" applyFont="1" applyBorder="1"/>
    <xf numFmtId="164" fontId="25" fillId="0" borderId="0" xfId="0" applyNumberFormat="1" applyFont="1"/>
    <xf numFmtId="164" fontId="24" fillId="0" borderId="0" xfId="0" applyNumberFormat="1" applyFont="1"/>
    <xf numFmtId="0" fontId="26" fillId="2" borderId="1" xfId="0" applyFont="1" applyFill="1" applyBorder="1" applyAlignment="1">
      <alignment horizontal="left" wrapText="1"/>
    </xf>
    <xf numFmtId="165" fontId="3" fillId="2" borderId="1" xfId="0" applyNumberFormat="1" applyFont="1" applyFill="1" applyBorder="1" applyAlignment="1">
      <alignment vertical="top" wrapText="1"/>
    </xf>
    <xf numFmtId="165" fontId="3" fillId="2" borderId="1" xfId="0" applyNumberFormat="1" applyFont="1" applyFill="1" applyBorder="1" applyAlignment="1">
      <alignment horizontal="right" vertical="top" wrapText="1"/>
    </xf>
    <xf numFmtId="4" fontId="3" fillId="0" borderId="0" xfId="0" applyNumberFormat="1" applyFont="1" applyAlignment="1">
      <alignment wrapText="1"/>
    </xf>
    <xf numFmtId="4" fontId="23" fillId="0" borderId="0" xfId="0" applyNumberFormat="1" applyFont="1"/>
    <xf numFmtId="49" fontId="2" fillId="0" borderId="1" xfId="0" applyNumberFormat="1" applyFont="1" applyBorder="1" applyAlignment="1">
      <alignment horizontal="center"/>
    </xf>
    <xf numFmtId="164" fontId="2" fillId="0" borderId="1" xfId="0" applyNumberFormat="1" applyFont="1" applyBorder="1"/>
    <xf numFmtId="4" fontId="3" fillId="0" borderId="1" xfId="0" applyNumberFormat="1" applyFont="1" applyBorder="1" applyAlignment="1">
      <alignment horizontal="right"/>
    </xf>
    <xf numFmtId="4" fontId="8" fillId="0" borderId="0" xfId="0" applyNumberFormat="1" applyFont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4" fontId="2" fillId="0" borderId="0" xfId="0" applyNumberFormat="1" applyFont="1"/>
    <xf numFmtId="168" fontId="3" fillId="2" borderId="1" xfId="0" applyNumberFormat="1" applyFont="1" applyFill="1" applyBorder="1"/>
    <xf numFmtId="168" fontId="3" fillId="2" borderId="1" xfId="0" applyNumberFormat="1" applyFont="1" applyFill="1" applyBorder="1" applyAlignment="1">
      <alignment horizontal="right"/>
    </xf>
    <xf numFmtId="0" fontId="29" fillId="3" borderId="1" xfId="0" applyFont="1" applyFill="1" applyBorder="1" applyAlignment="1">
      <alignment vertical="top" wrapText="1"/>
    </xf>
    <xf numFmtId="0" fontId="28" fillId="3" borderId="1" xfId="0" quotePrefix="1" applyFont="1" applyFill="1" applyBorder="1" applyAlignment="1">
      <alignment vertical="top" wrapText="1"/>
    </xf>
    <xf numFmtId="4" fontId="2" fillId="0" borderId="1" xfId="0" applyNumberFormat="1" applyFont="1" applyBorder="1" applyAlignment="1">
      <alignment horizontal="right" wrapText="1"/>
    </xf>
    <xf numFmtId="49" fontId="3" fillId="0" borderId="20" xfId="0" applyNumberFormat="1" applyFont="1" applyBorder="1" applyAlignment="1">
      <alignment horizontal="center" vertical="center" wrapText="1"/>
    </xf>
    <xf numFmtId="0" fontId="29" fillId="0" borderId="3" xfId="0" applyFont="1" applyBorder="1" applyAlignment="1">
      <alignment horizontal="center" vertical="center" wrapText="1"/>
    </xf>
    <xf numFmtId="2" fontId="29" fillId="0" borderId="4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top"/>
    </xf>
    <xf numFmtId="49" fontId="2" fillId="0" borderId="20" xfId="0" applyNumberFormat="1" applyFont="1" applyBorder="1" applyAlignment="1">
      <alignment horizontal="center"/>
    </xf>
    <xf numFmtId="49" fontId="2" fillId="0" borderId="3" xfId="0" applyNumberFormat="1" applyFont="1" applyBorder="1" applyAlignment="1">
      <alignment horizontal="center"/>
    </xf>
    <xf numFmtId="4" fontId="3" fillId="0" borderId="1" xfId="0" applyNumberFormat="1" applyFont="1" applyBorder="1" applyAlignment="1">
      <alignment horizontal="right" wrapText="1"/>
    </xf>
    <xf numFmtId="4" fontId="2" fillId="3" borderId="1" xfId="0" applyNumberFormat="1" applyFont="1" applyFill="1" applyBorder="1" applyAlignment="1">
      <alignment horizontal="right" wrapText="1"/>
    </xf>
    <xf numFmtId="4" fontId="0" fillId="0" borderId="0" xfId="0" applyNumberFormat="1"/>
    <xf numFmtId="0" fontId="2" fillId="0" borderId="1" xfId="0" applyFont="1" applyBorder="1" applyAlignment="1">
      <alignment horizontal="center"/>
    </xf>
    <xf numFmtId="0" fontId="8" fillId="0" borderId="1" xfId="0" applyFont="1" applyBorder="1"/>
    <xf numFmtId="164" fontId="2" fillId="0" borderId="1" xfId="0" applyNumberFormat="1" applyFont="1" applyBorder="1" applyAlignment="1">
      <alignment horizontal="right"/>
    </xf>
    <xf numFmtId="0" fontId="0" fillId="0" borderId="1" xfId="0" applyBorder="1"/>
    <xf numFmtId="166" fontId="3" fillId="0" borderId="1" xfId="0" applyNumberFormat="1" applyFont="1" applyBorder="1" applyAlignment="1">
      <alignment vertical="top"/>
    </xf>
    <xf numFmtId="0" fontId="28" fillId="3" borderId="1" xfId="0" applyFont="1" applyFill="1" applyBorder="1" applyAlignment="1">
      <alignment wrapText="1"/>
    </xf>
    <xf numFmtId="0" fontId="28" fillId="3" borderId="1" xfId="0" applyFont="1" applyFill="1" applyBorder="1" applyAlignment="1">
      <alignment horizontal="left" wrapText="1"/>
    </xf>
    <xf numFmtId="49" fontId="28" fillId="3" borderId="1" xfId="0" applyNumberFormat="1" applyFont="1" applyFill="1" applyBorder="1" applyAlignment="1">
      <alignment horizontal="center"/>
    </xf>
    <xf numFmtId="166" fontId="3" fillId="0" borderId="1" xfId="0" applyNumberFormat="1" applyFont="1" applyBorder="1" applyAlignment="1">
      <alignment horizontal="right" vertical="top"/>
    </xf>
    <xf numFmtId="49" fontId="20" fillId="2" borderId="1" xfId="0" applyNumberFormat="1" applyFont="1" applyFill="1" applyBorder="1" applyAlignment="1">
      <alignment horizontal="left" wrapText="1"/>
    </xf>
    <xf numFmtId="165" fontId="3" fillId="3" borderId="1" xfId="0" applyNumberFormat="1" applyFont="1" applyFill="1" applyBorder="1" applyAlignment="1">
      <alignment horizontal="right"/>
    </xf>
    <xf numFmtId="49" fontId="3" fillId="0" borderId="1" xfId="0" applyNumberFormat="1" applyFont="1" applyBorder="1" applyAlignment="1">
      <alignment horizontal="center" vertical="top"/>
    </xf>
    <xf numFmtId="0" fontId="3" fillId="3" borderId="1" xfId="0" quotePrefix="1" applyFont="1" applyFill="1" applyBorder="1" applyAlignment="1">
      <alignment wrapText="1"/>
    </xf>
    <xf numFmtId="49" fontId="3" fillId="3" borderId="1" xfId="0" applyNumberFormat="1" applyFont="1" applyFill="1" applyBorder="1" applyAlignment="1">
      <alignment horizontal="center"/>
    </xf>
    <xf numFmtId="0" fontId="3" fillId="3" borderId="1" xfId="0" applyFont="1" applyFill="1" applyBorder="1" applyAlignment="1">
      <alignment wrapText="1"/>
    </xf>
    <xf numFmtId="168" fontId="2" fillId="2" borderId="1" xfId="0" applyNumberFormat="1" applyFont="1" applyFill="1" applyBorder="1" applyAlignment="1">
      <alignment horizontal="right"/>
    </xf>
    <xf numFmtId="0" fontId="29" fillId="0" borderId="17" xfId="0" applyFont="1" applyBorder="1" applyAlignment="1">
      <alignment horizontal="center" vertical="center" wrapText="1"/>
    </xf>
    <xf numFmtId="2" fontId="29" fillId="0" borderId="17" xfId="0" applyNumberFormat="1" applyFont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right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" fontId="2" fillId="2" borderId="12" xfId="0" applyNumberFormat="1" applyFont="1" applyFill="1" applyBorder="1" applyAlignment="1">
      <alignment horizontal="right" vertical="top" wrapText="1"/>
    </xf>
    <xf numFmtId="49" fontId="2" fillId="0" borderId="4" xfId="0" applyNumberFormat="1" applyFont="1" applyBorder="1" applyAlignment="1">
      <alignment horizontal="center"/>
    </xf>
    <xf numFmtId="1" fontId="3" fillId="2" borderId="12" xfId="0" applyNumberFormat="1" applyFont="1" applyFill="1" applyBorder="1" applyAlignment="1">
      <alignment horizontal="right" vertical="top" wrapText="1"/>
    </xf>
    <xf numFmtId="0" fontId="3" fillId="4" borderId="1" xfId="0" applyFont="1" applyFill="1" applyBorder="1" applyAlignment="1">
      <alignment horizontal="center" wrapText="1"/>
    </xf>
    <xf numFmtId="0" fontId="3" fillId="4" borderId="1" xfId="0" applyFont="1" applyFill="1" applyBorder="1" applyAlignment="1">
      <alignment wrapText="1"/>
    </xf>
    <xf numFmtId="168" fontId="3" fillId="2" borderId="22" xfId="0" applyNumberFormat="1" applyFont="1" applyFill="1" applyBorder="1" applyAlignment="1">
      <alignment horizontal="center"/>
    </xf>
    <xf numFmtId="169" fontId="3" fillId="2" borderId="22" xfId="0" applyNumberFormat="1" applyFont="1" applyFill="1" applyBorder="1" applyAlignment="1">
      <alignment horizontal="center"/>
    </xf>
    <xf numFmtId="49" fontId="2" fillId="0" borderId="23" xfId="0" applyNumberFormat="1" applyFont="1" applyBorder="1" applyAlignment="1">
      <alignment horizontal="center" vertical="top"/>
    </xf>
    <xf numFmtId="49" fontId="2" fillId="0" borderId="24" xfId="0" applyNumberFormat="1" applyFont="1" applyBorder="1" applyAlignment="1">
      <alignment horizontal="center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4" fontId="31" fillId="0" borderId="13" xfId="0" applyNumberFormat="1" applyFont="1" applyBorder="1" applyAlignment="1">
      <alignment horizontal="center" vertical="center"/>
    </xf>
    <xf numFmtId="4" fontId="31" fillId="0" borderId="14" xfId="0" quotePrefix="1" applyNumberFormat="1" applyFont="1" applyBorder="1" applyAlignment="1">
      <alignment horizontal="center" vertical="center" wrapText="1"/>
    </xf>
    <xf numFmtId="4" fontId="31" fillId="0" borderId="15" xfId="0" quotePrefix="1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/>
    <xf numFmtId="0" fontId="1" fillId="0" borderId="0" xfId="0" applyFont="1" applyAlignment="1">
      <alignment horizontal="right"/>
    </xf>
    <xf numFmtId="0" fontId="4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textRotation="90" wrapText="1"/>
    </xf>
    <xf numFmtId="0" fontId="7" fillId="0" borderId="1" xfId="0" quotePrefix="1" applyFont="1" applyBorder="1" applyAlignment="1">
      <alignment wrapText="1"/>
    </xf>
    <xf numFmtId="0" fontId="2" fillId="0" borderId="1" xfId="0" applyFont="1" applyBorder="1" applyAlignment="1">
      <alignment vertical="top" wrapText="1"/>
    </xf>
    <xf numFmtId="49" fontId="16" fillId="0" borderId="1" xfId="0" applyNumberFormat="1" applyFont="1" applyBorder="1"/>
    <xf numFmtId="165" fontId="2" fillId="0" borderId="17" xfId="0" applyNumberFormat="1" applyFont="1" applyBorder="1" applyAlignment="1">
      <alignment horizontal="center" vertical="center" wrapText="1"/>
    </xf>
    <xf numFmtId="49" fontId="2" fillId="0" borderId="17" xfId="0" applyNumberFormat="1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top" wrapText="1"/>
    </xf>
    <xf numFmtId="0" fontId="19" fillId="0" borderId="1" xfId="0" quotePrefix="1" applyFont="1" applyBorder="1" applyAlignment="1">
      <alignment horizontal="center" vertical="top" wrapText="1"/>
    </xf>
    <xf numFmtId="165" fontId="2" fillId="0" borderId="1" xfId="0" applyNumberFormat="1" applyFont="1" applyBorder="1" applyAlignment="1">
      <alignment horizontal="right" vertical="top" wrapText="1"/>
    </xf>
    <xf numFmtId="0" fontId="10" fillId="0" borderId="1" xfId="0" applyFont="1" applyBorder="1" applyAlignment="1">
      <alignment horizontal="left" vertical="top" wrapText="1"/>
    </xf>
    <xf numFmtId="0" fontId="10" fillId="0" borderId="1" xfId="0" quotePrefix="1" applyFont="1" applyBorder="1" applyAlignment="1">
      <alignment horizontal="center" vertical="top" wrapText="1"/>
    </xf>
    <xf numFmtId="165" fontId="3" fillId="0" borderId="1" xfId="0" applyNumberFormat="1" applyFont="1" applyBorder="1" applyAlignment="1">
      <alignment horizontal="right" vertical="top" wrapText="1"/>
    </xf>
    <xf numFmtId="49" fontId="10" fillId="0" borderId="1" xfId="0" applyNumberFormat="1" applyFont="1" applyBorder="1" applyAlignment="1">
      <alignment horizontal="center" vertical="top" wrapText="1"/>
    </xf>
    <xf numFmtId="0" fontId="3" fillId="2" borderId="1" xfId="0" applyFont="1" applyFill="1" applyBorder="1" applyAlignment="1">
      <alignment horizontal="left" wrapText="1"/>
    </xf>
    <xf numFmtId="0" fontId="3" fillId="2" borderId="1" xfId="1" applyFont="1" applyFill="1" applyBorder="1" applyAlignment="1">
      <alignment horizontal="left" wrapText="1"/>
    </xf>
    <xf numFmtId="165" fontId="3" fillId="0" borderId="1" xfId="0" applyNumberFormat="1" applyFont="1" applyBorder="1" applyAlignment="1">
      <alignment horizontal="right" wrapText="1"/>
    </xf>
    <xf numFmtId="0" fontId="10" fillId="0" borderId="1" xfId="0" quotePrefix="1" applyFont="1" applyBorder="1" applyAlignment="1">
      <alignment horizontal="left" vertical="top" wrapText="1"/>
    </xf>
    <xf numFmtId="165" fontId="2" fillId="0" borderId="3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1" fontId="18" fillId="0" borderId="10" xfId="0" applyNumberFormat="1" applyFont="1" applyBorder="1" applyAlignment="1">
      <alignment horizontal="right" vertical="top" wrapText="1"/>
    </xf>
    <xf numFmtId="1" fontId="3" fillId="0" borderId="12" xfId="0" applyNumberFormat="1" applyFont="1" applyBorder="1" applyAlignment="1">
      <alignment horizontal="right" vertical="top" wrapText="1"/>
    </xf>
    <xf numFmtId="0" fontId="22" fillId="0" borderId="1" xfId="0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3" fillId="0" borderId="1" xfId="0" quotePrefix="1" applyFont="1" applyBorder="1" applyAlignment="1">
      <alignment horizontal="center" vertical="top" wrapText="1"/>
    </xf>
    <xf numFmtId="49" fontId="11" fillId="0" borderId="1" xfId="0" applyNumberFormat="1" applyFont="1" applyBorder="1" applyAlignment="1">
      <alignment wrapText="1"/>
    </xf>
    <xf numFmtId="49" fontId="3" fillId="0" borderId="1" xfId="0" applyNumberFormat="1" applyFont="1" applyBorder="1" applyAlignment="1">
      <alignment vertical="top" wrapText="1"/>
    </xf>
    <xf numFmtId="2" fontId="3" fillId="0" borderId="1" xfId="0" applyNumberFormat="1" applyFont="1" applyBorder="1" applyAlignment="1">
      <alignment vertical="top" wrapText="1"/>
    </xf>
    <xf numFmtId="0" fontId="13" fillId="0" borderId="1" xfId="0" quotePrefix="1" applyFont="1" applyBorder="1" applyAlignment="1">
      <alignment horizontal="left" vertical="top" wrapText="1"/>
    </xf>
    <xf numFmtId="0" fontId="14" fillId="0" borderId="1" xfId="0" quotePrefix="1" applyFont="1" applyBorder="1" applyAlignment="1">
      <alignment horizontal="left" vertical="top" wrapText="1"/>
    </xf>
    <xf numFmtId="0" fontId="14" fillId="0" borderId="1" xfId="0" applyFont="1" applyBorder="1" applyAlignment="1">
      <alignment horizontal="left" vertical="top" wrapText="1"/>
    </xf>
    <xf numFmtId="0" fontId="10" fillId="0" borderId="14" xfId="0" applyFont="1" applyBorder="1" applyAlignment="1">
      <alignment horizontal="left" vertical="top" wrapText="1"/>
    </xf>
    <xf numFmtId="0" fontId="1" fillId="0" borderId="0" xfId="0" applyFont="1" applyAlignment="1">
      <alignment vertical="top" wrapText="1"/>
    </xf>
    <xf numFmtId="0" fontId="30" fillId="0" borderId="0" xfId="0" applyFont="1" applyAlignment="1">
      <alignment horizontal="right"/>
    </xf>
    <xf numFmtId="0" fontId="28" fillId="0" borderId="0" xfId="0" applyFont="1" applyAlignment="1">
      <alignment horizontal="right"/>
    </xf>
    <xf numFmtId="0" fontId="2" fillId="0" borderId="3" xfId="0" applyFont="1" applyBorder="1" applyAlignment="1">
      <alignment horizontal="center" vertical="top" wrapText="1"/>
    </xf>
    <xf numFmtId="1" fontId="3" fillId="0" borderId="10" xfId="0" applyNumberFormat="1" applyFont="1" applyBorder="1" applyAlignment="1">
      <alignment horizontal="right" wrapText="1"/>
    </xf>
    <xf numFmtId="1" fontId="3" fillId="0" borderId="12" xfId="0" applyNumberFormat="1" applyFont="1" applyBorder="1" applyAlignment="1">
      <alignment horizontal="right" wrapText="1"/>
    </xf>
    <xf numFmtId="0" fontId="2" fillId="0" borderId="18" xfId="0" applyFont="1" applyBorder="1" applyAlignment="1">
      <alignment horizontal="center" vertical="top" wrapText="1"/>
    </xf>
    <xf numFmtId="0" fontId="10" fillId="0" borderId="17" xfId="0" applyFont="1" applyBorder="1" applyAlignment="1">
      <alignment horizontal="left" vertical="top" wrapText="1"/>
    </xf>
    <xf numFmtId="0" fontId="10" fillId="0" borderId="17" xfId="0" quotePrefix="1" applyFont="1" applyBorder="1" applyAlignment="1">
      <alignment horizontal="center" vertical="top" wrapText="1"/>
    </xf>
    <xf numFmtId="49" fontId="16" fillId="0" borderId="17" xfId="0" applyNumberFormat="1" applyFont="1" applyBorder="1" applyAlignment="1">
      <alignment horizontal="center" vertical="top"/>
    </xf>
    <xf numFmtId="165" fontId="3" fillId="0" borderId="17" xfId="0" applyNumberFormat="1" applyFont="1" applyBorder="1" applyAlignment="1">
      <alignment vertical="top"/>
    </xf>
    <xf numFmtId="165" fontId="3" fillId="0" borderId="17" xfId="0" applyNumberFormat="1" applyFont="1" applyBorder="1" applyAlignment="1">
      <alignment horizontal="right" vertical="top" wrapText="1"/>
    </xf>
    <xf numFmtId="4" fontId="2" fillId="0" borderId="3" xfId="0" applyNumberFormat="1" applyFont="1" applyBorder="1"/>
    <xf numFmtId="1" fontId="3" fillId="2" borderId="4" xfId="0" applyNumberFormat="1" applyFont="1" applyFill="1" applyBorder="1" applyAlignment="1">
      <alignment horizontal="right" vertical="top" wrapText="1"/>
    </xf>
    <xf numFmtId="0" fontId="19" fillId="0" borderId="30" xfId="0" applyFont="1" applyBorder="1" applyAlignment="1">
      <alignment horizontal="center" vertical="top"/>
    </xf>
    <xf numFmtId="0" fontId="19" fillId="0" borderId="31" xfId="0" quotePrefix="1" applyFont="1" applyBorder="1" applyAlignment="1">
      <alignment horizontal="left" vertical="top" wrapText="1"/>
    </xf>
    <xf numFmtId="0" fontId="19" fillId="0" borderId="32" xfId="0" quotePrefix="1" applyFont="1" applyBorder="1" applyAlignment="1">
      <alignment horizontal="center" wrapText="1"/>
    </xf>
    <xf numFmtId="165" fontId="2" fillId="0" borderId="6" xfId="0" applyNumberFormat="1" applyFont="1" applyBorder="1" applyAlignment="1">
      <alignment horizontal="right" wrapText="1"/>
    </xf>
    <xf numFmtId="1" fontId="3" fillId="0" borderId="7" xfId="0" applyNumberFormat="1" applyFont="1" applyBorder="1" applyAlignment="1">
      <alignment horizontal="right" wrapText="1"/>
    </xf>
    <xf numFmtId="0" fontId="19" fillId="0" borderId="29" xfId="0" quotePrefix="1" applyFont="1" applyBorder="1" applyAlignment="1">
      <alignment horizontal="center" wrapText="1"/>
    </xf>
    <xf numFmtId="165" fontId="2" fillId="0" borderId="16" xfId="0" applyNumberFormat="1" applyFont="1" applyBorder="1" applyAlignment="1">
      <alignment horizontal="right" wrapText="1"/>
    </xf>
    <xf numFmtId="1" fontId="2" fillId="0" borderId="34" xfId="0" applyNumberFormat="1" applyFont="1" applyBorder="1" applyAlignment="1">
      <alignment horizontal="right" wrapText="1"/>
    </xf>
    <xf numFmtId="0" fontId="10" fillId="0" borderId="1" xfId="0" quotePrefix="1" applyFont="1" applyBorder="1" applyAlignment="1">
      <alignment horizontal="center" wrapText="1"/>
    </xf>
    <xf numFmtId="0" fontId="19" fillId="0" borderId="1" xfId="0" quotePrefix="1" applyFont="1" applyBorder="1" applyAlignment="1">
      <alignment horizontal="left" vertical="top" wrapText="1"/>
    </xf>
    <xf numFmtId="0" fontId="19" fillId="0" borderId="1" xfId="0" quotePrefix="1" applyFont="1" applyBorder="1" applyAlignment="1">
      <alignment horizontal="center" wrapText="1"/>
    </xf>
    <xf numFmtId="4" fontId="29" fillId="3" borderId="1" xfId="0" applyNumberFormat="1" applyFont="1" applyFill="1" applyBorder="1" applyAlignment="1">
      <alignment horizontal="center" wrapText="1"/>
    </xf>
    <xf numFmtId="49" fontId="28" fillId="3" borderId="1" xfId="0" applyNumberFormat="1" applyFont="1" applyFill="1" applyBorder="1" applyAlignment="1">
      <alignment horizontal="center" wrapText="1"/>
    </xf>
    <xf numFmtId="4" fontId="3" fillId="0" borderId="1" xfId="0" applyNumberFormat="1" applyFont="1" applyBorder="1" applyAlignment="1">
      <alignment horizontal="center" wrapText="1"/>
    </xf>
    <xf numFmtId="49" fontId="10" fillId="0" borderId="1" xfId="0" applyNumberFormat="1" applyFont="1" applyBorder="1" applyAlignment="1">
      <alignment horizontal="center" wrapText="1"/>
    </xf>
    <xf numFmtId="0" fontId="10" fillId="0" borderId="8" xfId="0" applyFont="1" applyBorder="1" applyAlignment="1">
      <alignment horizontal="center" vertical="top"/>
    </xf>
    <xf numFmtId="0" fontId="10" fillId="0" borderId="9" xfId="0" quotePrefix="1" applyFont="1" applyBorder="1" applyAlignment="1">
      <alignment horizontal="left" vertical="top" wrapText="1"/>
    </xf>
    <xf numFmtId="0" fontId="10" fillId="0" borderId="9" xfId="0" quotePrefix="1" applyFont="1" applyBorder="1" applyAlignment="1">
      <alignment horizontal="center" wrapText="1"/>
    </xf>
    <xf numFmtId="0" fontId="10" fillId="0" borderId="11" xfId="0" applyFont="1" applyBorder="1" applyAlignment="1">
      <alignment horizontal="center" vertical="top"/>
    </xf>
    <xf numFmtId="0" fontId="10" fillId="0" borderId="13" xfId="0" applyFont="1" applyBorder="1" applyAlignment="1">
      <alignment horizontal="center" vertical="top"/>
    </xf>
    <xf numFmtId="0" fontId="10" fillId="0" borderId="14" xfId="0" quotePrefix="1" applyFont="1" applyBorder="1" applyAlignment="1">
      <alignment horizontal="center" wrapText="1"/>
    </xf>
    <xf numFmtId="1" fontId="3" fillId="0" borderId="15" xfId="0" applyNumberFormat="1" applyFont="1" applyBorder="1" applyAlignment="1">
      <alignment horizontal="right" wrapText="1"/>
    </xf>
    <xf numFmtId="0" fontId="5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5" fillId="0" borderId="0" xfId="0" applyFont="1"/>
    <xf numFmtId="0" fontId="3" fillId="2" borderId="8" xfId="0" applyFont="1" applyFill="1" applyBorder="1" applyAlignment="1">
      <alignment horizontal="center" vertical="center"/>
    </xf>
    <xf numFmtId="0" fontId="29" fillId="3" borderId="1" xfId="0" applyFont="1" applyFill="1" applyBorder="1" applyAlignment="1">
      <alignment wrapText="1"/>
    </xf>
    <xf numFmtId="0" fontId="3" fillId="0" borderId="1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center" vertical="center" wrapText="1"/>
    </xf>
    <xf numFmtId="169" fontId="2" fillId="2" borderId="1" xfId="0" applyNumberFormat="1" applyFont="1" applyFill="1" applyBorder="1" applyAlignment="1">
      <alignment horizontal="center"/>
    </xf>
    <xf numFmtId="4" fontId="2" fillId="0" borderId="16" xfId="0" applyNumberFormat="1" applyFont="1" applyBorder="1" applyAlignment="1">
      <alignment vertical="center"/>
    </xf>
    <xf numFmtId="1" fontId="2" fillId="0" borderId="34" xfId="0" applyNumberFormat="1" applyFont="1" applyBorder="1" applyAlignment="1">
      <alignment horizontal="right" vertical="top" wrapText="1"/>
    </xf>
    <xf numFmtId="0" fontId="3" fillId="2" borderId="13" xfId="0" applyFont="1" applyFill="1" applyBorder="1" applyAlignment="1">
      <alignment horizontal="center" vertical="center"/>
    </xf>
    <xf numFmtId="0" fontId="3" fillId="0" borderId="14" xfId="0" applyFont="1" applyBorder="1" applyAlignment="1">
      <alignment horizontal="left" vertical="top" wrapText="1"/>
    </xf>
    <xf numFmtId="0" fontId="10" fillId="0" borderId="14" xfId="0" quotePrefix="1" applyFont="1" applyBorder="1" applyAlignment="1">
      <alignment horizontal="center" vertical="top" wrapText="1"/>
    </xf>
    <xf numFmtId="49" fontId="3" fillId="0" borderId="14" xfId="0" applyNumberFormat="1" applyFont="1" applyBorder="1" applyAlignment="1">
      <alignment horizontal="center" vertical="top" wrapText="1"/>
    </xf>
    <xf numFmtId="1" fontId="3" fillId="0" borderId="15" xfId="0" applyNumberFormat="1" applyFont="1" applyBorder="1" applyAlignment="1">
      <alignment horizontal="right" vertical="top" wrapText="1"/>
    </xf>
    <xf numFmtId="49" fontId="2" fillId="0" borderId="1" xfId="0" applyNumberFormat="1" applyFont="1" applyBorder="1" applyAlignment="1">
      <alignment horizontal="center" vertical="top" wrapText="1"/>
    </xf>
    <xf numFmtId="4" fontId="32" fillId="0" borderId="9" xfId="0" applyNumberFormat="1" applyFont="1" applyBorder="1" applyAlignment="1">
      <alignment horizontal="right" vertical="top" wrapText="1"/>
    </xf>
    <xf numFmtId="4" fontId="16" fillId="0" borderId="1" xfId="0" applyNumberFormat="1" applyFont="1" applyBorder="1" applyAlignment="1">
      <alignment horizontal="right" vertical="top" wrapText="1"/>
    </xf>
    <xf numFmtId="4" fontId="16" fillId="0" borderId="14" xfId="0" applyNumberFormat="1" applyFont="1" applyBorder="1" applyAlignment="1">
      <alignment horizontal="right" vertical="top" wrapText="1"/>
    </xf>
    <xf numFmtId="4" fontId="32" fillId="0" borderId="1" xfId="0" applyNumberFormat="1" applyFont="1" applyBorder="1" applyAlignment="1">
      <alignment horizontal="right" vertical="top" wrapText="1"/>
    </xf>
    <xf numFmtId="165" fontId="16" fillId="0" borderId="1" xfId="0" applyNumberFormat="1" applyFont="1" applyBorder="1" applyAlignment="1">
      <alignment horizontal="right" vertical="top" wrapText="1"/>
    </xf>
    <xf numFmtId="4" fontId="16" fillId="0" borderId="1" xfId="0" applyNumberFormat="1" applyFont="1" applyBorder="1"/>
    <xf numFmtId="165" fontId="16" fillId="0" borderId="1" xfId="0" applyNumberFormat="1" applyFont="1" applyBorder="1"/>
    <xf numFmtId="4" fontId="16" fillId="0" borderId="1" xfId="0" applyNumberFormat="1" applyFont="1" applyBorder="1" applyAlignment="1">
      <alignment vertical="top"/>
    </xf>
    <xf numFmtId="165" fontId="16" fillId="0" borderId="1" xfId="0" applyNumberFormat="1" applyFont="1" applyBorder="1" applyAlignment="1">
      <alignment vertical="top"/>
    </xf>
    <xf numFmtId="4" fontId="3" fillId="0" borderId="1" xfId="0" applyNumberFormat="1" applyFont="1" applyBorder="1" applyAlignment="1">
      <alignment horizontal="right" vertical="top" wrapText="1"/>
    </xf>
    <xf numFmtId="4" fontId="3" fillId="0" borderId="1" xfId="0" applyNumberFormat="1" applyFont="1" applyBorder="1" applyAlignment="1">
      <alignment vertical="top"/>
    </xf>
    <xf numFmtId="0" fontId="15" fillId="0" borderId="1" xfId="0" quotePrefix="1" applyFont="1" applyBorder="1" applyAlignment="1">
      <alignment horizontal="left" vertical="top" wrapText="1"/>
    </xf>
    <xf numFmtId="0" fontId="3" fillId="0" borderId="1" xfId="0" applyFont="1" applyBorder="1" applyAlignment="1">
      <alignment horizontal="center" wrapText="1"/>
    </xf>
    <xf numFmtId="165" fontId="3" fillId="0" borderId="38" xfId="0" applyNumberFormat="1" applyFont="1" applyBorder="1" applyAlignment="1">
      <alignment horizontal="right" wrapText="1"/>
    </xf>
    <xf numFmtId="165" fontId="3" fillId="0" borderId="9" xfId="0" applyNumberFormat="1" applyFont="1" applyBorder="1" applyAlignment="1">
      <alignment horizontal="right" wrapText="1"/>
    </xf>
    <xf numFmtId="165" fontId="3" fillId="3" borderId="1" xfId="0" applyNumberFormat="1" applyFont="1" applyFill="1" applyBorder="1" applyAlignment="1">
      <alignment horizontal="right" wrapText="1"/>
    </xf>
    <xf numFmtId="165" fontId="2" fillId="0" borderId="1" xfId="0" applyNumberFormat="1" applyFont="1" applyBorder="1" applyAlignment="1">
      <alignment horizontal="right" wrapText="1"/>
    </xf>
    <xf numFmtId="165" fontId="3" fillId="0" borderId="14" xfId="0" applyNumberFormat="1" applyFont="1" applyBorder="1" applyAlignment="1">
      <alignment horizontal="right" wrapText="1"/>
    </xf>
    <xf numFmtId="0" fontId="3" fillId="0" borderId="1" xfId="0" applyFont="1" applyBorder="1" applyAlignment="1">
      <alignment horizontal="center" vertical="center"/>
    </xf>
    <xf numFmtId="170" fontId="3" fillId="0" borderId="0" xfId="0" applyNumberFormat="1" applyFont="1"/>
    <xf numFmtId="4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vertical="center" wrapText="1"/>
    </xf>
    <xf numFmtId="0" fontId="5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3" fillId="0" borderId="1" xfId="0" applyFont="1" applyBorder="1"/>
    <xf numFmtId="0" fontId="3" fillId="0" borderId="1" xfId="0" applyFont="1" applyBorder="1" applyAlignment="1">
      <alignment horizontal="left" vertical="top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left" vertical="top"/>
    </xf>
    <xf numFmtId="0" fontId="3" fillId="0" borderId="1" xfId="0" applyFont="1" applyBorder="1" applyAlignment="1">
      <alignment horizontal="left" vertical="center" wrapText="1"/>
    </xf>
    <xf numFmtId="49" fontId="16" fillId="2" borderId="17" xfId="0" applyNumberFormat="1" applyFont="1" applyFill="1" applyBorder="1" applyAlignment="1">
      <alignment horizontal="center" vertical="center" wrapText="1"/>
    </xf>
    <xf numFmtId="49" fontId="16" fillId="2" borderId="18" xfId="0" applyNumberFormat="1" applyFont="1" applyFill="1" applyBorder="1" applyAlignment="1">
      <alignment horizontal="center" vertical="center" wrapText="1"/>
    </xf>
    <xf numFmtId="49" fontId="3" fillId="0" borderId="17" xfId="0" applyNumberFormat="1" applyFont="1" applyBorder="1" applyAlignment="1">
      <alignment horizontal="center" vertical="center" wrapText="1"/>
    </xf>
    <xf numFmtId="49" fontId="3" fillId="0" borderId="18" xfId="0" applyNumberFormat="1" applyFont="1" applyBorder="1" applyAlignment="1">
      <alignment horizontal="center" vertical="center" wrapText="1"/>
    </xf>
    <xf numFmtId="0" fontId="2" fillId="0" borderId="19" xfId="0" applyFont="1" applyBorder="1" applyAlignment="1">
      <alignment horizontal="left"/>
    </xf>
    <xf numFmtId="0" fontId="2" fillId="0" borderId="21" xfId="0" applyFont="1" applyBorder="1" applyAlignment="1">
      <alignment horizontal="left"/>
    </xf>
    <xf numFmtId="0" fontId="2" fillId="0" borderId="22" xfId="0" applyFont="1" applyBorder="1" applyAlignment="1">
      <alignment horizontal="left"/>
    </xf>
    <xf numFmtId="0" fontId="4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0" xfId="0" applyFont="1"/>
    <xf numFmtId="0" fontId="5" fillId="0" borderId="0" xfId="0" applyFont="1" applyAlignment="1">
      <alignment horizontal="center" wrapText="1"/>
    </xf>
    <xf numFmtId="0" fontId="3" fillId="0" borderId="17" xfId="0" applyFont="1" applyBorder="1" applyAlignment="1">
      <alignment horizontal="center" vertical="center" textRotation="90" wrapText="1"/>
    </xf>
    <xf numFmtId="0" fontId="3" fillId="0" borderId="18" xfId="0" applyFont="1" applyBorder="1" applyAlignment="1">
      <alignment horizontal="center" vertical="center" textRotation="90" wrapText="1"/>
    </xf>
    <xf numFmtId="49" fontId="3" fillId="0" borderId="19" xfId="0" applyNumberFormat="1" applyFont="1" applyBorder="1" applyAlignment="1">
      <alignment horizontal="center" wrapText="1"/>
    </xf>
    <xf numFmtId="49" fontId="3" fillId="0" borderId="21" xfId="0" applyNumberFormat="1" applyFont="1" applyBorder="1" applyAlignment="1">
      <alignment horizontal="center" wrapText="1"/>
    </xf>
    <xf numFmtId="49" fontId="3" fillId="0" borderId="22" xfId="0" applyNumberFormat="1" applyFont="1" applyBorder="1" applyAlignment="1">
      <alignment horizontal="center" wrapText="1"/>
    </xf>
    <xf numFmtId="0" fontId="3" fillId="0" borderId="1" xfId="0" quotePrefix="1" applyFont="1" applyBorder="1" applyAlignment="1">
      <alignment horizontal="center" vertical="center" wrapText="1"/>
    </xf>
    <xf numFmtId="167" fontId="3" fillId="0" borderId="17" xfId="0" applyNumberFormat="1" applyFont="1" applyBorder="1" applyAlignment="1">
      <alignment horizontal="center" vertical="center" wrapText="1"/>
    </xf>
    <xf numFmtId="167" fontId="3" fillId="0" borderId="18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/>
    </xf>
    <xf numFmtId="0" fontId="3" fillId="0" borderId="1" xfId="0" applyFont="1" applyBorder="1" applyAlignment="1">
      <alignment horizontal="center" vertical="center" textRotation="90" wrapText="1"/>
    </xf>
    <xf numFmtId="49" fontId="3" fillId="0" borderId="1" xfId="0" applyNumberFormat="1" applyFont="1" applyBorder="1" applyAlignment="1">
      <alignment horizontal="center" wrapText="1"/>
    </xf>
    <xf numFmtId="49" fontId="3" fillId="0" borderId="1" xfId="0" quotePrefix="1" applyNumberFormat="1" applyFont="1" applyBorder="1" applyAlignment="1">
      <alignment horizontal="center" wrapText="1"/>
    </xf>
    <xf numFmtId="167" fontId="3" fillId="2" borderId="17" xfId="0" applyNumberFormat="1" applyFont="1" applyFill="1" applyBorder="1" applyAlignment="1">
      <alignment horizontal="center" vertical="center" wrapText="1"/>
    </xf>
    <xf numFmtId="167" fontId="3" fillId="2" borderId="18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6" fillId="0" borderId="0" xfId="0" applyFont="1" applyAlignment="1">
      <alignment horizontal="center" vertical="center" wrapText="1"/>
    </xf>
    <xf numFmtId="0" fontId="17" fillId="0" borderId="25" xfId="0" applyFont="1" applyBorder="1" applyAlignment="1">
      <alignment horizontal="left"/>
    </xf>
    <xf numFmtId="0" fontId="17" fillId="0" borderId="26" xfId="0" applyFont="1" applyBorder="1" applyAlignment="1">
      <alignment horizontal="left"/>
    </xf>
    <xf numFmtId="0" fontId="17" fillId="0" borderId="27" xfId="0" applyFont="1" applyBorder="1" applyAlignment="1">
      <alignment horizontal="left"/>
    </xf>
    <xf numFmtId="0" fontId="2" fillId="0" borderId="35" xfId="0" applyFont="1" applyBorder="1" applyAlignment="1">
      <alignment horizontal="right" vertical="center"/>
    </xf>
    <xf numFmtId="0" fontId="2" fillId="0" borderId="36" xfId="0" applyFont="1" applyBorder="1" applyAlignment="1">
      <alignment horizontal="right" vertical="center"/>
    </xf>
    <xf numFmtId="0" fontId="2" fillId="0" borderId="37" xfId="0" applyFont="1" applyBorder="1" applyAlignment="1">
      <alignment horizontal="right" vertical="center"/>
    </xf>
    <xf numFmtId="0" fontId="5" fillId="0" borderId="0" xfId="0" applyFont="1"/>
    <xf numFmtId="0" fontId="3" fillId="0" borderId="0" xfId="0" applyFont="1"/>
    <xf numFmtId="0" fontId="19" fillId="0" borderId="33" xfId="0" quotePrefix="1" applyFont="1" applyBorder="1" applyAlignment="1">
      <alignment horizontal="left" vertical="top" wrapText="1"/>
    </xf>
    <xf numFmtId="0" fontId="19" fillId="0" borderId="28" xfId="0" quotePrefix="1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0" fillId="0" borderId="0" xfId="0"/>
  </cellXfs>
  <cellStyles count="3">
    <cellStyle name="Обычный" xfId="0" builtinId="0"/>
    <cellStyle name="Обычный 2" xfId="2" xr:uid="{00000000-0005-0000-0000-000001000000}"/>
    <cellStyle name="Обычный_Приложение № 5" xfId="1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User\Downloads\1025104469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Бюджет"/>
    </sheetNames>
    <sheetDataSet>
      <sheetData sheetId="0">
        <row r="28">
          <cell r="G28">
            <v>54835</v>
          </cell>
        </row>
        <row r="47">
          <cell r="G47">
            <v>1240791.27</v>
          </cell>
        </row>
        <row r="48">
          <cell r="G48">
            <v>4556.25</v>
          </cell>
        </row>
        <row r="49">
          <cell r="G49">
            <v>376094.95</v>
          </cell>
        </row>
        <row r="54">
          <cell r="G54">
            <v>28616.16</v>
          </cell>
        </row>
        <row r="55">
          <cell r="G55">
            <v>8642.08</v>
          </cell>
        </row>
        <row r="77">
          <cell r="G77">
            <v>7376.47</v>
          </cell>
        </row>
        <row r="78">
          <cell r="G78">
            <v>840000</v>
          </cell>
        </row>
        <row r="79">
          <cell r="G79">
            <v>388370.53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44"/>
  <sheetViews>
    <sheetView tabSelected="1" zoomScaleSheetLayoutView="89" workbookViewId="0">
      <selection sqref="A1:J44"/>
    </sheetView>
  </sheetViews>
  <sheetFormatPr defaultRowHeight="12.75" x14ac:dyDescent="0.2"/>
  <cols>
    <col min="1" max="1" width="5.7109375" style="1" customWidth="1"/>
    <col min="2" max="2" width="13.140625" style="1" customWidth="1"/>
    <col min="3" max="3" width="9.140625" style="1"/>
    <col min="4" max="4" width="9" style="1" customWidth="1"/>
    <col min="5" max="9" width="9.140625" style="1"/>
    <col min="10" max="10" width="85.140625" style="1" customWidth="1"/>
    <col min="11" max="16384" width="9.140625" style="1"/>
  </cols>
  <sheetData>
    <row r="1" spans="1:13" ht="15.75" x14ac:dyDescent="0.25">
      <c r="J1" s="137" t="s">
        <v>397</v>
      </c>
      <c r="K1" s="2"/>
      <c r="L1" s="2"/>
      <c r="M1" s="2"/>
    </row>
    <row r="2" spans="1:13" ht="15.75" x14ac:dyDescent="0.25">
      <c r="J2" s="138" t="s">
        <v>383</v>
      </c>
      <c r="K2" s="2"/>
      <c r="L2" s="2"/>
      <c r="M2" s="2"/>
    </row>
    <row r="3" spans="1:13" ht="15.75" x14ac:dyDescent="0.25">
      <c r="J3" s="138" t="s">
        <v>499</v>
      </c>
      <c r="K3" s="2"/>
      <c r="L3" s="2"/>
      <c r="M3" s="2"/>
    </row>
    <row r="4" spans="1:13" ht="8.25" customHeight="1" x14ac:dyDescent="0.2">
      <c r="J4" s="133"/>
    </row>
    <row r="5" spans="1:13" ht="27.75" customHeight="1" x14ac:dyDescent="0.3">
      <c r="A5" s="250" t="s">
        <v>491</v>
      </c>
      <c r="B5" s="250"/>
      <c r="C5" s="250"/>
      <c r="D5" s="250"/>
      <c r="E5" s="250"/>
      <c r="F5" s="250"/>
      <c r="G5" s="250"/>
      <c r="H5" s="250"/>
      <c r="I5" s="250"/>
      <c r="J5" s="250"/>
    </row>
    <row r="6" spans="1:13" ht="14.25" customHeight="1" x14ac:dyDescent="0.2">
      <c r="B6" s="254"/>
      <c r="C6" s="254"/>
      <c r="D6" s="254"/>
      <c r="E6" s="254"/>
      <c r="F6" s="254"/>
      <c r="G6" s="254"/>
      <c r="H6" s="254"/>
      <c r="I6" s="254"/>
      <c r="J6" s="254"/>
    </row>
    <row r="7" spans="1:13" ht="17.25" customHeight="1" x14ac:dyDescent="0.2"/>
    <row r="8" spans="1:13" ht="43.5" customHeight="1" x14ac:dyDescent="0.2">
      <c r="A8" s="80" t="s">
        <v>51</v>
      </c>
      <c r="B8" s="80" t="s">
        <v>3</v>
      </c>
      <c r="C8" s="251" t="s">
        <v>0</v>
      </c>
      <c r="D8" s="251"/>
      <c r="E8" s="252" t="s">
        <v>2</v>
      </c>
      <c r="F8" s="252"/>
      <c r="G8" s="252"/>
      <c r="H8" s="252"/>
      <c r="I8" s="252"/>
      <c r="J8" s="252"/>
    </row>
    <row r="9" spans="1:13" x14ac:dyDescent="0.2">
      <c r="A9" s="96"/>
      <c r="B9" s="238">
        <v>1</v>
      </c>
      <c r="C9" s="255">
        <v>2</v>
      </c>
      <c r="D9" s="255"/>
      <c r="E9" s="256">
        <v>3</v>
      </c>
      <c r="F9" s="256"/>
      <c r="G9" s="256"/>
      <c r="H9" s="256"/>
      <c r="I9" s="256"/>
      <c r="J9" s="256"/>
    </row>
    <row r="10" spans="1:13" ht="15" customHeight="1" x14ac:dyDescent="0.2">
      <c r="A10" s="253" t="s">
        <v>8</v>
      </c>
      <c r="B10" s="253"/>
      <c r="C10" s="253"/>
      <c r="D10" s="253"/>
      <c r="E10" s="253"/>
      <c r="F10" s="253"/>
      <c r="G10" s="253"/>
      <c r="H10" s="253"/>
      <c r="I10" s="253"/>
      <c r="J10" s="253"/>
    </row>
    <row r="11" spans="1:13" ht="39" customHeight="1" x14ac:dyDescent="0.2">
      <c r="A11" s="244">
        <v>1</v>
      </c>
      <c r="B11" s="244">
        <v>807</v>
      </c>
      <c r="C11" s="246" t="s">
        <v>9</v>
      </c>
      <c r="D11" s="246"/>
      <c r="E11" s="260" t="s">
        <v>165</v>
      </c>
      <c r="F11" s="260"/>
      <c r="G11" s="260"/>
      <c r="H11" s="260"/>
      <c r="I11" s="260"/>
      <c r="J11" s="260"/>
    </row>
    <row r="12" spans="1:13" ht="30" customHeight="1" x14ac:dyDescent="0.2">
      <c r="A12" s="244">
        <v>2</v>
      </c>
      <c r="B12" s="244">
        <v>807</v>
      </c>
      <c r="C12" s="246" t="s">
        <v>82</v>
      </c>
      <c r="D12" s="246"/>
      <c r="E12" s="260" t="s">
        <v>83</v>
      </c>
      <c r="F12" s="260"/>
      <c r="G12" s="260"/>
      <c r="H12" s="260"/>
      <c r="I12" s="260"/>
      <c r="J12" s="260"/>
    </row>
    <row r="13" spans="1:13" ht="28.5" customHeight="1" x14ac:dyDescent="0.2">
      <c r="A13" s="244">
        <v>3</v>
      </c>
      <c r="B13" s="244">
        <v>807</v>
      </c>
      <c r="C13" s="246" t="s">
        <v>4</v>
      </c>
      <c r="D13" s="246"/>
      <c r="E13" s="260" t="s">
        <v>84</v>
      </c>
      <c r="F13" s="260"/>
      <c r="G13" s="260"/>
      <c r="H13" s="260"/>
      <c r="I13" s="260"/>
      <c r="J13" s="260"/>
    </row>
    <row r="14" spans="1:13" ht="28.5" customHeight="1" x14ac:dyDescent="0.2">
      <c r="A14" s="244">
        <v>4</v>
      </c>
      <c r="B14" s="244">
        <v>807</v>
      </c>
      <c r="C14" s="246" t="s">
        <v>5</v>
      </c>
      <c r="D14" s="246"/>
      <c r="E14" s="260" t="s">
        <v>85</v>
      </c>
      <c r="F14" s="260"/>
      <c r="G14" s="260"/>
      <c r="H14" s="260"/>
      <c r="I14" s="260"/>
      <c r="J14" s="260"/>
    </row>
    <row r="15" spans="1:13" ht="21.75" customHeight="1" x14ac:dyDescent="0.2">
      <c r="A15" s="244">
        <v>5</v>
      </c>
      <c r="B15" s="244">
        <v>807</v>
      </c>
      <c r="C15" s="246" t="s">
        <v>262</v>
      </c>
      <c r="D15" s="246"/>
      <c r="E15" s="249" t="s">
        <v>263</v>
      </c>
      <c r="F15" s="249"/>
      <c r="G15" s="249"/>
      <c r="H15" s="249"/>
      <c r="I15" s="249"/>
      <c r="J15" s="249"/>
    </row>
    <row r="16" spans="1:13" ht="25.5" customHeight="1" x14ac:dyDescent="0.2">
      <c r="A16" s="244">
        <v>6</v>
      </c>
      <c r="B16" s="244">
        <v>807</v>
      </c>
      <c r="C16" s="246" t="s">
        <v>60</v>
      </c>
      <c r="D16" s="246"/>
      <c r="E16" s="249" t="s">
        <v>86</v>
      </c>
      <c r="F16" s="249"/>
      <c r="G16" s="249"/>
      <c r="H16" s="249"/>
      <c r="I16" s="249"/>
      <c r="J16" s="249"/>
    </row>
    <row r="17" spans="1:10" ht="43.5" customHeight="1" x14ac:dyDescent="0.2">
      <c r="A17" s="244">
        <v>7</v>
      </c>
      <c r="B17" s="244">
        <v>807</v>
      </c>
      <c r="C17" s="246" t="s">
        <v>59</v>
      </c>
      <c r="D17" s="252"/>
      <c r="E17" s="258" t="s">
        <v>87</v>
      </c>
      <c r="F17" s="258"/>
      <c r="G17" s="258"/>
      <c r="H17" s="258"/>
      <c r="I17" s="258"/>
      <c r="J17" s="258"/>
    </row>
    <row r="18" spans="1:10" ht="17.25" customHeight="1" x14ac:dyDescent="0.2">
      <c r="A18" s="244">
        <v>8</v>
      </c>
      <c r="B18" s="244">
        <v>807</v>
      </c>
      <c r="C18" s="246" t="s">
        <v>368</v>
      </c>
      <c r="D18" s="246"/>
      <c r="E18" s="258" t="s">
        <v>411</v>
      </c>
      <c r="F18" s="258"/>
      <c r="G18" s="258"/>
      <c r="H18" s="258"/>
      <c r="I18" s="258"/>
      <c r="J18" s="258"/>
    </row>
    <row r="19" spans="1:10" ht="27.75" customHeight="1" x14ac:dyDescent="0.2">
      <c r="A19" s="244">
        <v>9</v>
      </c>
      <c r="B19" s="244">
        <v>807</v>
      </c>
      <c r="C19" s="246" t="s">
        <v>400</v>
      </c>
      <c r="D19" s="246"/>
      <c r="E19" s="258" t="s">
        <v>412</v>
      </c>
      <c r="F19" s="258"/>
      <c r="G19" s="258"/>
      <c r="H19" s="258"/>
      <c r="I19" s="258"/>
      <c r="J19" s="258"/>
    </row>
    <row r="20" spans="1:10" ht="15" customHeight="1" x14ac:dyDescent="0.2">
      <c r="A20" s="244">
        <v>10</v>
      </c>
      <c r="B20" s="244">
        <v>807</v>
      </c>
      <c r="C20" s="246" t="s">
        <v>6</v>
      </c>
      <c r="D20" s="246"/>
      <c r="E20" s="247" t="s">
        <v>455</v>
      </c>
      <c r="F20" s="247"/>
      <c r="G20" s="247"/>
      <c r="H20" s="247"/>
      <c r="I20" s="247"/>
      <c r="J20" s="247"/>
    </row>
    <row r="21" spans="1:10" ht="18" customHeight="1" x14ac:dyDescent="0.2">
      <c r="A21" s="244">
        <v>11</v>
      </c>
      <c r="B21" s="244">
        <v>807</v>
      </c>
      <c r="C21" s="246" t="s">
        <v>7</v>
      </c>
      <c r="D21" s="246"/>
      <c r="E21" s="261" t="s">
        <v>88</v>
      </c>
      <c r="F21" s="261"/>
      <c r="G21" s="261"/>
      <c r="H21" s="261"/>
      <c r="I21" s="261"/>
      <c r="J21" s="261"/>
    </row>
    <row r="22" spans="1:10" ht="16.5" customHeight="1" x14ac:dyDescent="0.2">
      <c r="A22" s="244">
        <v>12</v>
      </c>
      <c r="B22" s="244">
        <v>807</v>
      </c>
      <c r="C22" s="246" t="s">
        <v>429</v>
      </c>
      <c r="D22" s="246" t="s">
        <v>456</v>
      </c>
      <c r="E22" s="261" t="s">
        <v>430</v>
      </c>
      <c r="F22" s="261" t="s">
        <v>430</v>
      </c>
      <c r="G22" s="261" t="s">
        <v>430</v>
      </c>
      <c r="H22" s="261" t="s">
        <v>430</v>
      </c>
      <c r="I22" s="261" t="s">
        <v>430</v>
      </c>
      <c r="J22" s="261" t="s">
        <v>430</v>
      </c>
    </row>
    <row r="23" spans="1:10" ht="18" customHeight="1" x14ac:dyDescent="0.2">
      <c r="A23" s="244">
        <v>13</v>
      </c>
      <c r="B23" s="244">
        <v>807</v>
      </c>
      <c r="C23" s="246" t="s">
        <v>431</v>
      </c>
      <c r="D23" s="246" t="s">
        <v>457</v>
      </c>
      <c r="E23" s="261" t="s">
        <v>432</v>
      </c>
      <c r="F23" s="261" t="s">
        <v>432</v>
      </c>
      <c r="G23" s="261" t="s">
        <v>432</v>
      </c>
      <c r="H23" s="261" t="s">
        <v>432</v>
      </c>
      <c r="I23" s="261" t="s">
        <v>432</v>
      </c>
      <c r="J23" s="261" t="s">
        <v>432</v>
      </c>
    </row>
    <row r="24" spans="1:10" ht="23.25" customHeight="1" x14ac:dyDescent="0.2">
      <c r="A24" s="244">
        <v>14</v>
      </c>
      <c r="B24" s="244">
        <v>807</v>
      </c>
      <c r="C24" s="246" t="s">
        <v>413</v>
      </c>
      <c r="D24" s="246"/>
      <c r="E24" s="261" t="s">
        <v>414</v>
      </c>
      <c r="F24" s="261"/>
      <c r="G24" s="261"/>
      <c r="H24" s="261"/>
      <c r="I24" s="261"/>
      <c r="J24" s="261"/>
    </row>
    <row r="25" spans="1:10" ht="32.25" customHeight="1" x14ac:dyDescent="0.2">
      <c r="A25" s="244">
        <v>15</v>
      </c>
      <c r="B25" s="244">
        <v>807</v>
      </c>
      <c r="C25" s="246" t="s">
        <v>415</v>
      </c>
      <c r="D25" s="246"/>
      <c r="E25" s="258" t="s">
        <v>416</v>
      </c>
      <c r="F25" s="258"/>
      <c r="G25" s="258"/>
      <c r="H25" s="258"/>
      <c r="I25" s="258"/>
      <c r="J25" s="258"/>
    </row>
    <row r="26" spans="1:10" ht="52.5" customHeight="1" x14ac:dyDescent="0.2">
      <c r="A26" s="244">
        <v>16</v>
      </c>
      <c r="B26" s="244">
        <v>807</v>
      </c>
      <c r="C26" s="259" t="s">
        <v>243</v>
      </c>
      <c r="D26" s="259"/>
      <c r="E26" s="258" t="s">
        <v>287</v>
      </c>
      <c r="F26" s="258"/>
      <c r="G26" s="258"/>
      <c r="H26" s="258"/>
      <c r="I26" s="258"/>
      <c r="J26" s="258"/>
    </row>
    <row r="27" spans="1:10" ht="64.5" customHeight="1" x14ac:dyDescent="0.2">
      <c r="A27" s="244">
        <v>17</v>
      </c>
      <c r="B27" s="244">
        <v>807</v>
      </c>
      <c r="C27" s="259" t="s">
        <v>244</v>
      </c>
      <c r="D27" s="259"/>
      <c r="E27" s="258" t="s">
        <v>288</v>
      </c>
      <c r="F27" s="258"/>
      <c r="G27" s="258"/>
      <c r="H27" s="258"/>
      <c r="I27" s="258"/>
      <c r="J27" s="258"/>
    </row>
    <row r="28" spans="1:10" ht="19.5" customHeight="1" x14ac:dyDescent="0.2">
      <c r="A28" s="244">
        <v>18</v>
      </c>
      <c r="B28" s="244">
        <v>807</v>
      </c>
      <c r="C28" s="259" t="s">
        <v>245</v>
      </c>
      <c r="D28" s="259"/>
      <c r="E28" s="258" t="s">
        <v>289</v>
      </c>
      <c r="F28" s="258"/>
      <c r="G28" s="258"/>
      <c r="H28" s="258"/>
      <c r="I28" s="258"/>
      <c r="J28" s="258"/>
    </row>
    <row r="29" spans="1:10" ht="39.75" customHeight="1" x14ac:dyDescent="0.2">
      <c r="A29" s="244">
        <v>19</v>
      </c>
      <c r="B29" s="244">
        <v>807</v>
      </c>
      <c r="C29" s="259" t="s">
        <v>246</v>
      </c>
      <c r="D29" s="259"/>
      <c r="E29" s="260" t="s">
        <v>290</v>
      </c>
      <c r="F29" s="260"/>
      <c r="G29" s="260"/>
      <c r="H29" s="260"/>
      <c r="I29" s="260"/>
      <c r="J29" s="260"/>
    </row>
    <row r="30" spans="1:10" ht="51" customHeight="1" x14ac:dyDescent="0.2">
      <c r="A30" s="244">
        <v>20</v>
      </c>
      <c r="B30" s="244">
        <v>807</v>
      </c>
      <c r="C30" s="259" t="s">
        <v>247</v>
      </c>
      <c r="D30" s="259"/>
      <c r="E30" s="260" t="s">
        <v>291</v>
      </c>
      <c r="F30" s="260"/>
      <c r="G30" s="260"/>
      <c r="H30" s="260"/>
      <c r="I30" s="260"/>
      <c r="J30" s="260"/>
    </row>
    <row r="31" spans="1:10" ht="16.5" customHeight="1" x14ac:dyDescent="0.2">
      <c r="A31" s="244">
        <v>21</v>
      </c>
      <c r="B31" s="244">
        <v>807</v>
      </c>
      <c r="C31" s="246" t="s">
        <v>248</v>
      </c>
      <c r="D31" s="246"/>
      <c r="E31" s="260" t="s">
        <v>50</v>
      </c>
      <c r="F31" s="260"/>
      <c r="G31" s="260"/>
      <c r="H31" s="260"/>
      <c r="I31" s="260"/>
      <c r="J31" s="260"/>
    </row>
    <row r="32" spans="1:10" ht="19.5" customHeight="1" x14ac:dyDescent="0.2">
      <c r="A32" s="244">
        <v>22</v>
      </c>
      <c r="B32" s="244">
        <v>807</v>
      </c>
      <c r="C32" s="246" t="s">
        <v>249</v>
      </c>
      <c r="D32" s="246"/>
      <c r="E32" s="249" t="s">
        <v>202</v>
      </c>
      <c r="F32" s="257"/>
      <c r="G32" s="257"/>
      <c r="H32" s="257"/>
      <c r="I32" s="257"/>
      <c r="J32" s="257"/>
    </row>
    <row r="33" spans="1:10" ht="26.25" customHeight="1" x14ac:dyDescent="0.2">
      <c r="A33" s="244">
        <v>23</v>
      </c>
      <c r="B33" s="244">
        <v>807</v>
      </c>
      <c r="C33" s="246" t="s">
        <v>250</v>
      </c>
      <c r="D33" s="246"/>
      <c r="E33" s="249" t="s">
        <v>203</v>
      </c>
      <c r="F33" s="257"/>
      <c r="G33" s="257"/>
      <c r="H33" s="257"/>
      <c r="I33" s="257"/>
      <c r="J33" s="257"/>
    </row>
    <row r="34" spans="1:10" ht="40.5" customHeight="1" x14ac:dyDescent="0.2">
      <c r="A34" s="244">
        <v>24</v>
      </c>
      <c r="B34" s="244">
        <v>807</v>
      </c>
      <c r="C34" s="246" t="s">
        <v>458</v>
      </c>
      <c r="D34" s="246"/>
      <c r="E34" s="249" t="s">
        <v>459</v>
      </c>
      <c r="F34" s="249"/>
      <c r="G34" s="249"/>
      <c r="H34" s="249"/>
      <c r="I34" s="249"/>
      <c r="J34" s="249"/>
    </row>
    <row r="35" spans="1:10" ht="42" customHeight="1" x14ac:dyDescent="0.2">
      <c r="A35" s="244">
        <v>25</v>
      </c>
      <c r="B35" s="244">
        <v>807</v>
      </c>
      <c r="C35" s="246" t="s">
        <v>460</v>
      </c>
      <c r="D35" s="246"/>
      <c r="E35" s="249" t="s">
        <v>461</v>
      </c>
      <c r="F35" s="249"/>
      <c r="G35" s="249"/>
      <c r="H35" s="249"/>
      <c r="I35" s="249"/>
      <c r="J35" s="249"/>
    </row>
    <row r="36" spans="1:10" ht="41.25" customHeight="1" x14ac:dyDescent="0.2">
      <c r="A36" s="244">
        <v>26</v>
      </c>
      <c r="B36" s="244">
        <v>807</v>
      </c>
      <c r="C36" s="246" t="s">
        <v>462</v>
      </c>
      <c r="D36" s="246"/>
      <c r="E36" s="249" t="s">
        <v>463</v>
      </c>
      <c r="F36" s="249"/>
      <c r="G36" s="249"/>
      <c r="H36" s="249"/>
      <c r="I36" s="249"/>
      <c r="J36" s="249"/>
    </row>
    <row r="37" spans="1:10" ht="42" customHeight="1" x14ac:dyDescent="0.2">
      <c r="A37" s="244">
        <v>27</v>
      </c>
      <c r="B37" s="244">
        <v>807</v>
      </c>
      <c r="C37" s="246" t="s">
        <v>464</v>
      </c>
      <c r="D37" s="246"/>
      <c r="E37" s="249" t="s">
        <v>465</v>
      </c>
      <c r="F37" s="249"/>
      <c r="G37" s="249"/>
      <c r="H37" s="249"/>
      <c r="I37" s="249"/>
      <c r="J37" s="249"/>
    </row>
    <row r="38" spans="1:10" ht="21.75" customHeight="1" x14ac:dyDescent="0.2">
      <c r="A38" s="244">
        <v>28</v>
      </c>
      <c r="B38" s="244">
        <v>807</v>
      </c>
      <c r="C38" s="256" t="s">
        <v>369</v>
      </c>
      <c r="D38" s="256"/>
      <c r="E38" s="135" t="s">
        <v>370</v>
      </c>
      <c r="F38" s="135"/>
      <c r="G38" s="135"/>
      <c r="H38" s="135"/>
      <c r="I38" s="135"/>
      <c r="J38" s="135"/>
    </row>
    <row r="39" spans="1:10" ht="39" customHeight="1" x14ac:dyDescent="0.2">
      <c r="A39" s="244">
        <v>29</v>
      </c>
      <c r="B39" s="244">
        <v>807</v>
      </c>
      <c r="C39" s="246" t="s">
        <v>371</v>
      </c>
      <c r="D39" s="246"/>
      <c r="E39" s="247" t="s">
        <v>417</v>
      </c>
      <c r="F39" s="248"/>
      <c r="G39" s="248"/>
      <c r="H39" s="248"/>
      <c r="I39" s="248"/>
      <c r="J39" s="248"/>
    </row>
    <row r="40" spans="1:10" ht="24.75" customHeight="1" x14ac:dyDescent="0.2">
      <c r="A40" s="244">
        <v>30</v>
      </c>
      <c r="B40" s="244">
        <v>807</v>
      </c>
      <c r="C40" s="246" t="s">
        <v>418</v>
      </c>
      <c r="D40" s="246"/>
      <c r="E40" s="247" t="s">
        <v>419</v>
      </c>
      <c r="F40" s="248"/>
      <c r="G40" s="248"/>
      <c r="H40" s="248"/>
      <c r="I40" s="248"/>
      <c r="J40" s="248"/>
    </row>
    <row r="41" spans="1:10" ht="41.25" customHeight="1" x14ac:dyDescent="0.2">
      <c r="A41" s="244">
        <v>31</v>
      </c>
      <c r="B41" s="244">
        <v>807</v>
      </c>
      <c r="C41" s="246" t="s">
        <v>420</v>
      </c>
      <c r="D41" s="246"/>
      <c r="E41" s="247" t="s">
        <v>466</v>
      </c>
      <c r="F41" s="247"/>
      <c r="G41" s="247"/>
      <c r="H41" s="247"/>
      <c r="I41" s="247"/>
      <c r="J41" s="247"/>
    </row>
    <row r="42" spans="1:10" ht="31.5" customHeight="1" x14ac:dyDescent="0.2">
      <c r="A42" s="244">
        <v>32</v>
      </c>
      <c r="B42" s="244">
        <v>807</v>
      </c>
      <c r="C42" s="246" t="s">
        <v>467</v>
      </c>
      <c r="D42" s="246"/>
      <c r="E42" s="247" t="s">
        <v>468</v>
      </c>
      <c r="F42" s="247"/>
      <c r="G42" s="247"/>
      <c r="H42" s="247"/>
      <c r="I42" s="247"/>
      <c r="J42" s="247"/>
    </row>
    <row r="43" spans="1:10" ht="15" customHeight="1" x14ac:dyDescent="0.2">
      <c r="A43" s="244">
        <v>33</v>
      </c>
      <c r="B43" s="244">
        <v>807</v>
      </c>
      <c r="C43" s="246" t="s">
        <v>469</v>
      </c>
      <c r="D43" s="246"/>
      <c r="E43" s="262" t="s">
        <v>470</v>
      </c>
      <c r="F43" s="262"/>
      <c r="G43" s="262"/>
      <c r="H43" s="262"/>
      <c r="I43" s="262"/>
      <c r="J43" s="262"/>
    </row>
    <row r="44" spans="1:10" ht="27" customHeight="1" x14ac:dyDescent="0.2">
      <c r="A44" s="244">
        <v>34</v>
      </c>
      <c r="B44" s="244">
        <v>807</v>
      </c>
      <c r="C44" s="246" t="s">
        <v>471</v>
      </c>
      <c r="D44" s="246"/>
      <c r="E44" s="262" t="s">
        <v>472</v>
      </c>
      <c r="F44" s="262"/>
      <c r="G44" s="262"/>
      <c r="H44" s="262"/>
      <c r="I44" s="262"/>
      <c r="J44" s="262"/>
    </row>
  </sheetData>
  <mergeCells count="74">
    <mergeCell ref="C44:D44"/>
    <mergeCell ref="E44:J44"/>
    <mergeCell ref="C41:D41"/>
    <mergeCell ref="E41:J41"/>
    <mergeCell ref="C42:D42"/>
    <mergeCell ref="E42:J42"/>
    <mergeCell ref="C43:D43"/>
    <mergeCell ref="E43:J43"/>
    <mergeCell ref="E13:J13"/>
    <mergeCell ref="C13:D13"/>
    <mergeCell ref="E33:J33"/>
    <mergeCell ref="C40:D40"/>
    <mergeCell ref="E40:J40"/>
    <mergeCell ref="E22:J22"/>
    <mergeCell ref="E23:J23"/>
    <mergeCell ref="C20:D20"/>
    <mergeCell ref="E14:J14"/>
    <mergeCell ref="C14:D14"/>
    <mergeCell ref="C16:D16"/>
    <mergeCell ref="E20:J20"/>
    <mergeCell ref="E18:J18"/>
    <mergeCell ref="C27:D27"/>
    <mergeCell ref="C28:D28"/>
    <mergeCell ref="E28:J28"/>
    <mergeCell ref="E11:J11"/>
    <mergeCell ref="C11:D11"/>
    <mergeCell ref="C12:D12"/>
    <mergeCell ref="E17:J17"/>
    <mergeCell ref="C23:D23"/>
    <mergeCell ref="C15:D15"/>
    <mergeCell ref="E15:J15"/>
    <mergeCell ref="E12:J12"/>
    <mergeCell ref="C19:D19"/>
    <mergeCell ref="C18:D18"/>
    <mergeCell ref="C22:D22"/>
    <mergeCell ref="E19:J19"/>
    <mergeCell ref="C21:D21"/>
    <mergeCell ref="E21:J21"/>
    <mergeCell ref="E16:J16"/>
    <mergeCell ref="C17:D17"/>
    <mergeCell ref="E24:J24"/>
    <mergeCell ref="C24:D24"/>
    <mergeCell ref="C26:D26"/>
    <mergeCell ref="E25:J25"/>
    <mergeCell ref="C25:D25"/>
    <mergeCell ref="C32:D32"/>
    <mergeCell ref="E32:J32"/>
    <mergeCell ref="E26:J26"/>
    <mergeCell ref="C38:D38"/>
    <mergeCell ref="C29:D29"/>
    <mergeCell ref="E29:J29"/>
    <mergeCell ref="C30:D30"/>
    <mergeCell ref="E27:J27"/>
    <mergeCell ref="C34:D34"/>
    <mergeCell ref="E31:J31"/>
    <mergeCell ref="E34:J34"/>
    <mergeCell ref="C33:D33"/>
    <mergeCell ref="C31:D31"/>
    <mergeCell ref="C35:D35"/>
    <mergeCell ref="E30:J30"/>
    <mergeCell ref="A5:J5"/>
    <mergeCell ref="C8:D8"/>
    <mergeCell ref="E8:J8"/>
    <mergeCell ref="A10:J10"/>
    <mergeCell ref="B6:J6"/>
    <mergeCell ref="C9:D9"/>
    <mergeCell ref="E9:J9"/>
    <mergeCell ref="C39:D39"/>
    <mergeCell ref="E39:J39"/>
    <mergeCell ref="C37:D37"/>
    <mergeCell ref="E37:J37"/>
    <mergeCell ref="E35:J35"/>
    <mergeCell ref="C36:D36"/>
    <mergeCell ref="E36:J36"/>
  </mergeCells>
  <pageMargins left="0.70866141732283472" right="0.39370078740157483" top="0.31496062992125984" bottom="0.35433070866141736" header="0.19685039370078741" footer="0.19685039370078741"/>
  <pageSetup paperSize="9" scale="8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36"/>
  <sheetViews>
    <sheetView view="pageBreakPreview" topLeftCell="J1" zoomScaleSheetLayoutView="100" workbookViewId="0">
      <selection activeCell="H3" sqref="H3:M3"/>
    </sheetView>
  </sheetViews>
  <sheetFormatPr defaultRowHeight="12.75" x14ac:dyDescent="0.2"/>
  <cols>
    <col min="1" max="1" width="4.28515625" style="1" hidden="1" customWidth="1"/>
    <col min="2" max="2" width="5.42578125" style="1" hidden="1" customWidth="1"/>
    <col min="3" max="3" width="4.28515625" style="1" hidden="1" customWidth="1"/>
    <col min="4" max="4" width="5" style="1" hidden="1" customWidth="1"/>
    <col min="5" max="5" width="4.5703125" style="1" hidden="1" customWidth="1"/>
    <col min="6" max="6" width="5.5703125" style="1" hidden="1" customWidth="1"/>
    <col min="7" max="7" width="4.5703125" style="1" hidden="1" customWidth="1"/>
    <col min="8" max="8" width="7" style="1" hidden="1" customWidth="1"/>
    <col min="9" max="9" width="0" style="1" hidden="1" customWidth="1"/>
    <col min="10" max="10" width="6.85546875" style="1" customWidth="1"/>
    <col min="11" max="11" width="25.85546875" style="1" customWidth="1"/>
    <col min="12" max="12" width="68.5703125" style="1" customWidth="1"/>
    <col min="13" max="13" width="15.42578125" style="1" customWidth="1"/>
    <col min="14" max="14" width="9.140625" style="1"/>
    <col min="15" max="15" width="10.85546875" style="1" bestFit="1" customWidth="1"/>
    <col min="16" max="16" width="10" style="1" bestFit="1" customWidth="1"/>
    <col min="17" max="17" width="11.42578125" style="1" customWidth="1"/>
    <col min="18" max="16384" width="9.140625" style="1"/>
  </cols>
  <sheetData>
    <row r="1" spans="1:17" ht="15.75" x14ac:dyDescent="0.25">
      <c r="E1" s="14"/>
      <c r="F1" s="8"/>
      <c r="G1" s="8"/>
      <c r="H1" s="8"/>
      <c r="I1" s="270" t="s">
        <v>407</v>
      </c>
      <c r="J1" s="270"/>
      <c r="K1" s="270"/>
      <c r="L1" s="271"/>
      <c r="M1" s="271"/>
    </row>
    <row r="2" spans="1:17" ht="15.75" x14ac:dyDescent="0.25">
      <c r="E2" s="272" t="s">
        <v>384</v>
      </c>
      <c r="F2" s="272"/>
      <c r="G2" s="272"/>
      <c r="H2" s="272"/>
      <c r="I2" s="272"/>
      <c r="J2" s="272"/>
      <c r="K2" s="272"/>
      <c r="L2" s="273"/>
      <c r="M2" s="273"/>
    </row>
    <row r="3" spans="1:17" ht="15.75" x14ac:dyDescent="0.25">
      <c r="E3" s="15"/>
      <c r="F3" s="136"/>
      <c r="G3" s="136"/>
      <c r="H3" s="271" t="s">
        <v>500</v>
      </c>
      <c r="I3" s="271"/>
      <c r="J3" s="271"/>
      <c r="K3" s="271"/>
      <c r="L3" s="271"/>
      <c r="M3" s="271"/>
    </row>
    <row r="5" spans="1:17" ht="48.75" customHeight="1" x14ac:dyDescent="0.3">
      <c r="A5" s="274" t="s">
        <v>492</v>
      </c>
      <c r="B5" s="274"/>
      <c r="C5" s="274"/>
      <c r="D5" s="274"/>
      <c r="E5" s="274"/>
      <c r="F5" s="274"/>
      <c r="G5" s="274"/>
      <c r="H5" s="274"/>
      <c r="I5" s="274"/>
      <c r="J5" s="274"/>
      <c r="K5" s="274"/>
      <c r="L5" s="274"/>
      <c r="M5" s="274"/>
    </row>
    <row r="7" spans="1:17" x14ac:dyDescent="0.2">
      <c r="M7" s="133" t="s">
        <v>367</v>
      </c>
    </row>
    <row r="8" spans="1:17" ht="12.75" customHeight="1" x14ac:dyDescent="0.2">
      <c r="A8" s="275" t="s">
        <v>53</v>
      </c>
      <c r="B8" s="277" t="s">
        <v>89</v>
      </c>
      <c r="C8" s="278"/>
      <c r="D8" s="278"/>
      <c r="E8" s="278"/>
      <c r="F8" s="278"/>
      <c r="G8" s="278"/>
      <c r="H8" s="278"/>
      <c r="I8" s="279"/>
      <c r="J8" s="265" t="s">
        <v>53</v>
      </c>
      <c r="K8" s="251" t="s">
        <v>309</v>
      </c>
      <c r="L8" s="281" t="s">
        <v>310</v>
      </c>
      <c r="M8" s="263" t="s">
        <v>454</v>
      </c>
    </row>
    <row r="9" spans="1:17" ht="167.25" x14ac:dyDescent="0.2">
      <c r="A9" s="276"/>
      <c r="B9" s="141" t="s">
        <v>91</v>
      </c>
      <c r="C9" s="141" t="s">
        <v>92</v>
      </c>
      <c r="D9" s="141" t="s">
        <v>93</v>
      </c>
      <c r="E9" s="141" t="s">
        <v>94</v>
      </c>
      <c r="F9" s="141" t="s">
        <v>95</v>
      </c>
      <c r="G9" s="141" t="s">
        <v>96</v>
      </c>
      <c r="H9" s="141" t="s">
        <v>97</v>
      </c>
      <c r="I9" s="141" t="s">
        <v>98</v>
      </c>
      <c r="J9" s="266"/>
      <c r="K9" s="280"/>
      <c r="L9" s="282"/>
      <c r="M9" s="264"/>
    </row>
    <row r="10" spans="1:17" s="3" customFormat="1" x14ac:dyDescent="0.2">
      <c r="A10" s="142"/>
      <c r="B10" s="80">
        <v>1</v>
      </c>
      <c r="C10" s="80">
        <v>2</v>
      </c>
      <c r="D10" s="80">
        <v>3</v>
      </c>
      <c r="E10" s="80">
        <v>4</v>
      </c>
      <c r="F10" s="80">
        <v>5</v>
      </c>
      <c r="G10" s="80">
        <v>6</v>
      </c>
      <c r="H10" s="80">
        <v>7</v>
      </c>
      <c r="I10" s="80">
        <v>8</v>
      </c>
      <c r="J10" s="80"/>
      <c r="K10" s="80">
        <v>2</v>
      </c>
      <c r="L10" s="21">
        <v>3</v>
      </c>
      <c r="M10" s="21">
        <v>4</v>
      </c>
    </row>
    <row r="11" spans="1:17" x14ac:dyDescent="0.2">
      <c r="A11" s="96">
        <v>1</v>
      </c>
      <c r="B11" s="76" t="s">
        <v>22</v>
      </c>
      <c r="C11" s="76" t="s">
        <v>100</v>
      </c>
      <c r="D11" s="76" t="s">
        <v>101</v>
      </c>
      <c r="E11" s="76" t="s">
        <v>101</v>
      </c>
      <c r="F11" s="76" t="s">
        <v>22</v>
      </c>
      <c r="G11" s="76" t="s">
        <v>101</v>
      </c>
      <c r="H11" s="76" t="s">
        <v>102</v>
      </c>
      <c r="I11" s="76" t="s">
        <v>22</v>
      </c>
      <c r="J11" s="22" t="s">
        <v>100</v>
      </c>
      <c r="K11" s="121" t="s">
        <v>321</v>
      </c>
      <c r="L11" s="122" t="s">
        <v>344</v>
      </c>
      <c r="M11" s="123">
        <v>0</v>
      </c>
      <c r="O11" s="20"/>
      <c r="P11" s="20"/>
    </row>
    <row r="12" spans="1:17" x14ac:dyDescent="0.2">
      <c r="A12" s="21">
        <v>2</v>
      </c>
      <c r="B12" s="107" t="s">
        <v>103</v>
      </c>
      <c r="C12" s="107" t="s">
        <v>100</v>
      </c>
      <c r="D12" s="107" t="s">
        <v>104</v>
      </c>
      <c r="E12" s="107" t="s">
        <v>105</v>
      </c>
      <c r="F12" s="107" t="s">
        <v>22</v>
      </c>
      <c r="G12" s="107" t="s">
        <v>104</v>
      </c>
      <c r="H12" s="107" t="s">
        <v>102</v>
      </c>
      <c r="I12" s="107" t="s">
        <v>106</v>
      </c>
      <c r="J12" s="107" t="s">
        <v>127</v>
      </c>
      <c r="K12" s="121" t="s">
        <v>322</v>
      </c>
      <c r="L12" s="122" t="s">
        <v>345</v>
      </c>
      <c r="M12" s="123">
        <v>0</v>
      </c>
      <c r="O12" s="20"/>
      <c r="P12" s="20"/>
      <c r="Q12" s="20"/>
    </row>
    <row r="13" spans="1:17" ht="25.5" x14ac:dyDescent="0.2">
      <c r="A13" s="21">
        <v>3</v>
      </c>
      <c r="B13" s="22" t="s">
        <v>22</v>
      </c>
      <c r="C13" s="22" t="s">
        <v>100</v>
      </c>
      <c r="D13" s="22" t="s">
        <v>108</v>
      </c>
      <c r="E13" s="22" t="s">
        <v>105</v>
      </c>
      <c r="F13" s="22" t="s">
        <v>130</v>
      </c>
      <c r="G13" s="22" t="s">
        <v>104</v>
      </c>
      <c r="H13" s="22" t="s">
        <v>102</v>
      </c>
      <c r="I13" s="22" t="s">
        <v>106</v>
      </c>
      <c r="J13" s="22" t="s">
        <v>278</v>
      </c>
      <c r="K13" s="121" t="s">
        <v>323</v>
      </c>
      <c r="L13" s="122" t="s">
        <v>346</v>
      </c>
      <c r="M13" s="123">
        <v>0</v>
      </c>
      <c r="O13" s="20"/>
      <c r="P13" s="20"/>
      <c r="Q13" s="20"/>
    </row>
    <row r="14" spans="1:17" ht="25.5" x14ac:dyDescent="0.2">
      <c r="A14" s="21"/>
      <c r="B14" s="22"/>
      <c r="C14" s="22"/>
      <c r="D14" s="22"/>
      <c r="E14" s="22"/>
      <c r="F14" s="22"/>
      <c r="G14" s="22"/>
      <c r="H14" s="22"/>
      <c r="I14" s="22"/>
      <c r="J14" s="107" t="s">
        <v>279</v>
      </c>
      <c r="K14" s="121" t="s">
        <v>324</v>
      </c>
      <c r="L14" s="122" t="s">
        <v>347</v>
      </c>
      <c r="M14" s="123">
        <v>0</v>
      </c>
      <c r="O14" s="20"/>
      <c r="P14" s="20"/>
      <c r="Q14" s="20"/>
    </row>
    <row r="15" spans="1:17" ht="25.5" x14ac:dyDescent="0.2">
      <c r="A15" s="22" t="s">
        <v>112</v>
      </c>
      <c r="B15" s="22" t="s">
        <v>70</v>
      </c>
      <c r="C15" s="22" t="s">
        <v>100</v>
      </c>
      <c r="D15" s="22" t="s">
        <v>108</v>
      </c>
      <c r="E15" s="22" t="s">
        <v>105</v>
      </c>
      <c r="F15" s="22" t="s">
        <v>254</v>
      </c>
      <c r="G15" s="22" t="s">
        <v>104</v>
      </c>
      <c r="H15" s="22" t="s">
        <v>102</v>
      </c>
      <c r="I15" s="22" t="s">
        <v>106</v>
      </c>
      <c r="J15" s="22" t="s">
        <v>280</v>
      </c>
      <c r="K15" s="121" t="s">
        <v>325</v>
      </c>
      <c r="L15" s="122" t="s">
        <v>348</v>
      </c>
      <c r="M15" s="123">
        <v>0</v>
      </c>
      <c r="O15" s="20"/>
      <c r="P15" s="20"/>
      <c r="Q15" s="20"/>
    </row>
    <row r="16" spans="1:17" x14ac:dyDescent="0.2">
      <c r="A16" s="22" t="s">
        <v>113</v>
      </c>
      <c r="B16" s="22" t="s">
        <v>70</v>
      </c>
      <c r="C16" s="22" t="s">
        <v>100</v>
      </c>
      <c r="D16" s="22" t="s">
        <v>108</v>
      </c>
      <c r="E16" s="22" t="s">
        <v>105</v>
      </c>
      <c r="F16" s="22" t="s">
        <v>255</v>
      </c>
      <c r="G16" s="22" t="s">
        <v>104</v>
      </c>
      <c r="H16" s="22" t="s">
        <v>102</v>
      </c>
      <c r="I16" s="22" t="s">
        <v>106</v>
      </c>
      <c r="J16" s="107" t="s">
        <v>286</v>
      </c>
      <c r="K16" s="121" t="s">
        <v>326</v>
      </c>
      <c r="L16" s="122" t="s">
        <v>349</v>
      </c>
      <c r="M16" s="124">
        <f>M17+M21</f>
        <v>400092.88000000082</v>
      </c>
      <c r="O16" s="20"/>
      <c r="P16" s="20"/>
      <c r="Q16" s="20"/>
    </row>
    <row r="17" spans="1:17" x14ac:dyDescent="0.2">
      <c r="A17" s="22" t="s">
        <v>114</v>
      </c>
      <c r="B17" s="22" t="s">
        <v>70</v>
      </c>
      <c r="C17" s="22" t="s">
        <v>100</v>
      </c>
      <c r="D17" s="22" t="s">
        <v>108</v>
      </c>
      <c r="E17" s="22" t="s">
        <v>105</v>
      </c>
      <c r="F17" s="22" t="s">
        <v>81</v>
      </c>
      <c r="G17" s="22" t="s">
        <v>104</v>
      </c>
      <c r="H17" s="22" t="s">
        <v>102</v>
      </c>
      <c r="I17" s="22" t="s">
        <v>106</v>
      </c>
      <c r="J17" s="22" t="s">
        <v>311</v>
      </c>
      <c r="K17" s="121" t="s">
        <v>327</v>
      </c>
      <c r="L17" s="122" t="s">
        <v>350</v>
      </c>
      <c r="M17" s="124">
        <v>-9189233.2899999991</v>
      </c>
      <c r="O17" s="20"/>
      <c r="P17" s="20"/>
      <c r="Q17" s="20"/>
    </row>
    <row r="18" spans="1:17" x14ac:dyDescent="0.2">
      <c r="A18" s="22" t="s">
        <v>115</v>
      </c>
      <c r="B18" s="22" t="s">
        <v>70</v>
      </c>
      <c r="C18" s="22" t="s">
        <v>100</v>
      </c>
      <c r="D18" s="22" t="s">
        <v>108</v>
      </c>
      <c r="E18" s="22" t="s">
        <v>105</v>
      </c>
      <c r="F18" s="22" t="s">
        <v>256</v>
      </c>
      <c r="G18" s="22" t="s">
        <v>104</v>
      </c>
      <c r="H18" s="22" t="s">
        <v>102</v>
      </c>
      <c r="I18" s="22" t="s">
        <v>106</v>
      </c>
      <c r="J18" s="107" t="s">
        <v>312</v>
      </c>
      <c r="K18" s="121" t="s">
        <v>339</v>
      </c>
      <c r="L18" s="122" t="s">
        <v>351</v>
      </c>
      <c r="M18" s="124">
        <f>M17</f>
        <v>-9189233.2899999991</v>
      </c>
      <c r="O18" s="20"/>
      <c r="P18" s="20"/>
      <c r="Q18" s="20"/>
    </row>
    <row r="19" spans="1:17" x14ac:dyDescent="0.2">
      <c r="A19" s="21">
        <v>4</v>
      </c>
      <c r="B19" s="22" t="s">
        <v>103</v>
      </c>
      <c r="C19" s="22" t="s">
        <v>100</v>
      </c>
      <c r="D19" s="22" t="s">
        <v>109</v>
      </c>
      <c r="E19" s="22" t="s">
        <v>108</v>
      </c>
      <c r="F19" s="22" t="s">
        <v>22</v>
      </c>
      <c r="G19" s="22" t="s">
        <v>104</v>
      </c>
      <c r="H19" s="22" t="s">
        <v>102</v>
      </c>
      <c r="I19" s="22" t="s">
        <v>106</v>
      </c>
      <c r="J19" s="22" t="s">
        <v>313</v>
      </c>
      <c r="K19" s="121" t="s">
        <v>340</v>
      </c>
      <c r="L19" s="122" t="s">
        <v>352</v>
      </c>
      <c r="M19" s="124">
        <f>M18</f>
        <v>-9189233.2899999991</v>
      </c>
      <c r="O19" s="20"/>
      <c r="P19" s="20"/>
      <c r="Q19" s="20"/>
    </row>
    <row r="20" spans="1:17" ht="25.5" customHeight="1" x14ac:dyDescent="0.2">
      <c r="A20" s="21">
        <v>5</v>
      </c>
      <c r="B20" s="22" t="s">
        <v>103</v>
      </c>
      <c r="C20" s="22" t="s">
        <v>100</v>
      </c>
      <c r="D20" s="22" t="s">
        <v>110</v>
      </c>
      <c r="E20" s="22" t="s">
        <v>104</v>
      </c>
      <c r="F20" s="22" t="s">
        <v>22</v>
      </c>
      <c r="G20" s="22" t="s">
        <v>101</v>
      </c>
      <c r="H20" s="22" t="s">
        <v>102</v>
      </c>
      <c r="I20" s="22" t="s">
        <v>106</v>
      </c>
      <c r="J20" s="107" t="s">
        <v>119</v>
      </c>
      <c r="K20" s="121" t="s">
        <v>341</v>
      </c>
      <c r="L20" s="122" t="s">
        <v>353</v>
      </c>
      <c r="M20" s="124">
        <f>M19</f>
        <v>-9189233.2899999991</v>
      </c>
      <c r="O20" s="20"/>
      <c r="P20" s="20"/>
      <c r="Q20" s="20"/>
    </row>
    <row r="21" spans="1:17" x14ac:dyDescent="0.2">
      <c r="A21" s="21">
        <v>6</v>
      </c>
      <c r="B21" s="21">
        <v>182</v>
      </c>
      <c r="C21" s="22" t="s">
        <v>100</v>
      </c>
      <c r="D21" s="22" t="s">
        <v>110</v>
      </c>
      <c r="E21" s="22" t="s">
        <v>110</v>
      </c>
      <c r="F21" s="22" t="s">
        <v>22</v>
      </c>
      <c r="G21" s="22" t="s">
        <v>101</v>
      </c>
      <c r="H21" s="22" t="s">
        <v>102</v>
      </c>
      <c r="I21" s="22" t="s">
        <v>106</v>
      </c>
      <c r="J21" s="22" t="s">
        <v>125</v>
      </c>
      <c r="K21" s="121" t="s">
        <v>342</v>
      </c>
      <c r="L21" s="122" t="s">
        <v>354</v>
      </c>
      <c r="M21" s="124">
        <v>9589326.1699999999</v>
      </c>
      <c r="O21" s="20"/>
      <c r="P21" s="20"/>
      <c r="Q21" s="20"/>
    </row>
    <row r="22" spans="1:17" x14ac:dyDescent="0.2">
      <c r="A22" s="21"/>
      <c r="B22" s="135"/>
      <c r="C22" s="135"/>
      <c r="D22" s="135"/>
      <c r="E22" s="135"/>
      <c r="F22" s="135"/>
      <c r="G22" s="135"/>
      <c r="H22" s="135"/>
      <c r="I22" s="135"/>
      <c r="J22" s="107" t="s">
        <v>314</v>
      </c>
      <c r="K22" s="121" t="s">
        <v>343</v>
      </c>
      <c r="L22" s="122" t="s">
        <v>355</v>
      </c>
      <c r="M22" s="124">
        <f>M21</f>
        <v>9589326.1699999999</v>
      </c>
      <c r="O22" s="20"/>
      <c r="P22" s="20"/>
      <c r="Q22" s="20"/>
    </row>
    <row r="23" spans="1:17" ht="20.25" customHeight="1" x14ac:dyDescent="0.2">
      <c r="A23" s="22" t="s">
        <v>116</v>
      </c>
      <c r="B23" s="21">
        <v>182</v>
      </c>
      <c r="C23" s="22" t="s">
        <v>100</v>
      </c>
      <c r="D23" s="22" t="s">
        <v>110</v>
      </c>
      <c r="E23" s="22" t="s">
        <v>110</v>
      </c>
      <c r="F23" s="22" t="s">
        <v>118</v>
      </c>
      <c r="G23" s="22" t="s">
        <v>119</v>
      </c>
      <c r="H23" s="22" t="s">
        <v>102</v>
      </c>
      <c r="I23" s="22" t="s">
        <v>106</v>
      </c>
      <c r="J23" s="22" t="s">
        <v>264</v>
      </c>
      <c r="K23" s="121" t="s">
        <v>338</v>
      </c>
      <c r="L23" s="122" t="s">
        <v>356</v>
      </c>
      <c r="M23" s="124">
        <f>M22</f>
        <v>9589326.1699999999</v>
      </c>
      <c r="O23" s="20"/>
      <c r="P23" s="20"/>
      <c r="Q23" s="20"/>
    </row>
    <row r="24" spans="1:17" ht="25.5" x14ac:dyDescent="0.2">
      <c r="A24" s="22" t="s">
        <v>117</v>
      </c>
      <c r="B24" s="21">
        <v>182</v>
      </c>
      <c r="C24" s="22" t="s">
        <v>100</v>
      </c>
      <c r="D24" s="22" t="s">
        <v>110</v>
      </c>
      <c r="E24" s="22" t="s">
        <v>110</v>
      </c>
      <c r="F24" s="22" t="s">
        <v>120</v>
      </c>
      <c r="G24" s="22" t="s">
        <v>119</v>
      </c>
      <c r="H24" s="22" t="s">
        <v>102</v>
      </c>
      <c r="I24" s="22" t="s">
        <v>106</v>
      </c>
      <c r="J24" s="107" t="s">
        <v>134</v>
      </c>
      <c r="K24" s="121" t="s">
        <v>337</v>
      </c>
      <c r="L24" s="122" t="s">
        <v>357</v>
      </c>
      <c r="M24" s="124">
        <f>M23</f>
        <v>9589326.1699999999</v>
      </c>
      <c r="O24" s="20"/>
      <c r="P24" s="20"/>
      <c r="Q24" s="20"/>
    </row>
    <row r="25" spans="1:17" x14ac:dyDescent="0.2">
      <c r="A25" s="21">
        <v>7</v>
      </c>
      <c r="B25" s="21">
        <v>807</v>
      </c>
      <c r="C25" s="22" t="s">
        <v>100</v>
      </c>
      <c r="D25" s="22" t="s">
        <v>121</v>
      </c>
      <c r="E25" s="22" t="s">
        <v>122</v>
      </c>
      <c r="F25" s="22" t="s">
        <v>123</v>
      </c>
      <c r="G25" s="22" t="s">
        <v>104</v>
      </c>
      <c r="H25" s="22" t="s">
        <v>124</v>
      </c>
      <c r="I25" s="22" t="s">
        <v>106</v>
      </c>
      <c r="J25" s="22" t="s">
        <v>197</v>
      </c>
      <c r="K25" s="121" t="s">
        <v>336</v>
      </c>
      <c r="L25" s="122" t="s">
        <v>358</v>
      </c>
      <c r="M25" s="123">
        <v>0</v>
      </c>
      <c r="O25" s="20"/>
      <c r="P25" s="20"/>
      <c r="Q25" s="20"/>
    </row>
    <row r="26" spans="1:17" ht="25.5" x14ac:dyDescent="0.2">
      <c r="A26" s="21">
        <v>8</v>
      </c>
      <c r="B26" s="21">
        <v>807</v>
      </c>
      <c r="C26" s="22" t="s">
        <v>100</v>
      </c>
      <c r="D26" s="22" t="s">
        <v>125</v>
      </c>
      <c r="E26" s="22" t="s">
        <v>109</v>
      </c>
      <c r="F26" s="22" t="s">
        <v>81</v>
      </c>
      <c r="G26" s="22" t="s">
        <v>101</v>
      </c>
      <c r="H26" s="22" t="s">
        <v>102</v>
      </c>
      <c r="I26" s="22" t="s">
        <v>74</v>
      </c>
      <c r="J26" s="107" t="s">
        <v>297</v>
      </c>
      <c r="K26" s="121" t="s">
        <v>335</v>
      </c>
      <c r="L26" s="122" t="s">
        <v>359</v>
      </c>
      <c r="M26" s="123">
        <v>0</v>
      </c>
      <c r="O26" s="20"/>
      <c r="P26" s="20"/>
      <c r="Q26" s="20"/>
    </row>
    <row r="27" spans="1:17" ht="25.5" x14ac:dyDescent="0.2">
      <c r="A27" s="21">
        <v>9</v>
      </c>
      <c r="B27" s="21">
        <v>807</v>
      </c>
      <c r="C27" s="22" t="s">
        <v>100</v>
      </c>
      <c r="D27" s="22" t="s">
        <v>125</v>
      </c>
      <c r="E27" s="22" t="s">
        <v>109</v>
      </c>
      <c r="F27" s="22" t="s">
        <v>126</v>
      </c>
      <c r="G27" s="22" t="s">
        <v>101</v>
      </c>
      <c r="H27" s="22" t="s">
        <v>102</v>
      </c>
      <c r="I27" s="22" t="s">
        <v>74</v>
      </c>
      <c r="J27" s="22" t="s">
        <v>315</v>
      </c>
      <c r="K27" s="121" t="s">
        <v>334</v>
      </c>
      <c r="L27" s="122" t="s">
        <v>360</v>
      </c>
      <c r="M27" s="123">
        <v>0</v>
      </c>
      <c r="O27" s="20"/>
      <c r="P27" s="20"/>
      <c r="Q27" s="20"/>
    </row>
    <row r="28" spans="1:17" ht="25.5" x14ac:dyDescent="0.2">
      <c r="A28" s="21">
        <v>10</v>
      </c>
      <c r="B28" s="21">
        <v>807</v>
      </c>
      <c r="C28" s="22" t="s">
        <v>100</v>
      </c>
      <c r="D28" s="22" t="s">
        <v>264</v>
      </c>
      <c r="E28" s="22" t="s">
        <v>105</v>
      </c>
      <c r="F28" s="22" t="s">
        <v>265</v>
      </c>
      <c r="G28" s="22" t="s">
        <v>119</v>
      </c>
      <c r="H28" s="22" t="s">
        <v>102</v>
      </c>
      <c r="I28" s="22" t="s">
        <v>266</v>
      </c>
      <c r="J28" s="107" t="s">
        <v>316</v>
      </c>
      <c r="K28" s="121" t="s">
        <v>333</v>
      </c>
      <c r="L28" s="122" t="s">
        <v>361</v>
      </c>
      <c r="M28" s="123">
        <v>0</v>
      </c>
      <c r="O28" s="20"/>
      <c r="P28" s="20"/>
      <c r="Q28" s="20"/>
    </row>
    <row r="29" spans="1:17" ht="25.5" x14ac:dyDescent="0.2">
      <c r="A29" s="21">
        <v>11</v>
      </c>
      <c r="B29" s="21">
        <v>807</v>
      </c>
      <c r="C29" s="22" t="s">
        <v>100</v>
      </c>
      <c r="D29" s="22" t="s">
        <v>134</v>
      </c>
      <c r="E29" s="22" t="s">
        <v>105</v>
      </c>
      <c r="F29" s="22" t="s">
        <v>135</v>
      </c>
      <c r="G29" s="22" t="s">
        <v>119</v>
      </c>
      <c r="H29" s="22" t="s">
        <v>102</v>
      </c>
      <c r="I29" s="22" t="s">
        <v>136</v>
      </c>
      <c r="J29" s="22" t="s">
        <v>317</v>
      </c>
      <c r="K29" s="121" t="s">
        <v>332</v>
      </c>
      <c r="L29" s="122" t="s">
        <v>362</v>
      </c>
      <c r="M29" s="123">
        <v>0</v>
      </c>
      <c r="O29" s="20"/>
      <c r="P29" s="20"/>
      <c r="Q29" s="20"/>
    </row>
    <row r="30" spans="1:17" ht="25.5" x14ac:dyDescent="0.2">
      <c r="A30" s="21">
        <v>12</v>
      </c>
      <c r="B30" s="21">
        <v>807</v>
      </c>
      <c r="C30" s="22" t="s">
        <v>100</v>
      </c>
      <c r="D30" s="22" t="s">
        <v>134</v>
      </c>
      <c r="E30" s="22" t="s">
        <v>110</v>
      </c>
      <c r="F30" s="22" t="s">
        <v>137</v>
      </c>
      <c r="G30" s="22" t="s">
        <v>119</v>
      </c>
      <c r="H30" s="22" t="s">
        <v>102</v>
      </c>
      <c r="I30" s="22" t="s">
        <v>138</v>
      </c>
      <c r="J30" s="107" t="s">
        <v>294</v>
      </c>
      <c r="K30" s="121" t="s">
        <v>331</v>
      </c>
      <c r="L30" s="122" t="s">
        <v>363</v>
      </c>
      <c r="M30" s="123">
        <v>0</v>
      </c>
      <c r="O30" s="20"/>
      <c r="P30" s="20"/>
      <c r="Q30" s="20"/>
    </row>
    <row r="31" spans="1:17" ht="38.25" x14ac:dyDescent="0.2">
      <c r="A31" s="96">
        <v>13</v>
      </c>
      <c r="B31" s="76" t="s">
        <v>22</v>
      </c>
      <c r="C31" s="76" t="s">
        <v>127</v>
      </c>
      <c r="D31" s="76" t="s">
        <v>101</v>
      </c>
      <c r="E31" s="76" t="s">
        <v>101</v>
      </c>
      <c r="F31" s="76" t="s">
        <v>22</v>
      </c>
      <c r="G31" s="76" t="s">
        <v>101</v>
      </c>
      <c r="H31" s="76" t="s">
        <v>102</v>
      </c>
      <c r="I31" s="76" t="s">
        <v>22</v>
      </c>
      <c r="J31" s="22" t="s">
        <v>318</v>
      </c>
      <c r="K31" s="121" t="s">
        <v>330</v>
      </c>
      <c r="L31" s="122" t="s">
        <v>364</v>
      </c>
      <c r="M31" s="123">
        <v>0</v>
      </c>
      <c r="O31" s="20"/>
      <c r="P31" s="20"/>
      <c r="Q31" s="20"/>
    </row>
    <row r="32" spans="1:17" ht="25.5" x14ac:dyDescent="0.2">
      <c r="A32" s="21">
        <v>14</v>
      </c>
      <c r="B32" s="22" t="s">
        <v>129</v>
      </c>
      <c r="C32" s="22" t="s">
        <v>127</v>
      </c>
      <c r="D32" s="22" t="s">
        <v>105</v>
      </c>
      <c r="E32" s="22" t="s">
        <v>197</v>
      </c>
      <c r="F32" s="22" t="s">
        <v>22</v>
      </c>
      <c r="G32" s="22" t="s">
        <v>101</v>
      </c>
      <c r="H32" s="22" t="s">
        <v>102</v>
      </c>
      <c r="I32" s="22" t="s">
        <v>251</v>
      </c>
      <c r="J32" s="107" t="s">
        <v>319</v>
      </c>
      <c r="K32" s="121" t="s">
        <v>329</v>
      </c>
      <c r="L32" s="122" t="s">
        <v>365</v>
      </c>
      <c r="M32" s="123">
        <v>0</v>
      </c>
      <c r="O32" s="20"/>
      <c r="P32" s="20"/>
      <c r="Q32" s="20"/>
    </row>
    <row r="33" spans="1:17" ht="38.25" x14ac:dyDescent="0.2">
      <c r="A33" s="21"/>
      <c r="B33" s="17"/>
      <c r="C33" s="17"/>
      <c r="D33" s="17"/>
      <c r="E33" s="17"/>
      <c r="F33" s="17"/>
      <c r="G33" s="17"/>
      <c r="H33" s="17"/>
      <c r="I33" s="17"/>
      <c r="J33" s="22" t="s">
        <v>320</v>
      </c>
      <c r="K33" s="121" t="s">
        <v>328</v>
      </c>
      <c r="L33" s="122" t="s">
        <v>366</v>
      </c>
      <c r="M33" s="123">
        <v>0</v>
      </c>
      <c r="O33" s="20"/>
      <c r="P33" s="20"/>
      <c r="Q33" s="20"/>
    </row>
    <row r="34" spans="1:17" x14ac:dyDescent="0.2">
      <c r="A34" s="267" t="s">
        <v>133</v>
      </c>
      <c r="B34" s="268"/>
      <c r="C34" s="268"/>
      <c r="D34" s="268"/>
      <c r="E34" s="268"/>
      <c r="F34" s="268"/>
      <c r="G34" s="268"/>
      <c r="H34" s="268"/>
      <c r="I34" s="268"/>
      <c r="J34" s="268"/>
      <c r="K34" s="268"/>
      <c r="L34" s="269"/>
      <c r="M34" s="217">
        <f>M16</f>
        <v>400092.88000000082</v>
      </c>
      <c r="O34" s="20"/>
      <c r="P34" s="20">
        <f>13422.87-15010.18</f>
        <v>-1587.3099999999995</v>
      </c>
      <c r="Q34" s="20">
        <f>P35/P34</f>
        <v>0.25205725409655338</v>
      </c>
    </row>
    <row r="35" spans="1:17" s="3" customFormat="1" ht="12.75" customHeight="1" x14ac:dyDescent="0.2">
      <c r="K35" s="13"/>
      <c r="P35" s="3">
        <v>-400.09300000000002</v>
      </c>
    </row>
    <row r="36" spans="1:17" s="3" customFormat="1" x14ac:dyDescent="0.2">
      <c r="L36" s="28"/>
      <c r="O36" s="81"/>
    </row>
  </sheetData>
  <mergeCells count="11">
    <mergeCell ref="M8:M9"/>
    <mergeCell ref="J8:J9"/>
    <mergeCell ref="A34:L34"/>
    <mergeCell ref="I1:M1"/>
    <mergeCell ref="E2:M2"/>
    <mergeCell ref="H3:M3"/>
    <mergeCell ref="A5:M5"/>
    <mergeCell ref="A8:A9"/>
    <mergeCell ref="B8:I8"/>
    <mergeCell ref="K8:K9"/>
    <mergeCell ref="L8:L9"/>
  </mergeCells>
  <pageMargins left="0.31496062992125984" right="0.15748031496062992" top="0.31496062992125984" bottom="0.27559055118110237" header="0.15748031496062992" footer="0.27559055118110237"/>
  <pageSetup paperSize="9" scale="8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R56"/>
  <sheetViews>
    <sheetView workbookViewId="0">
      <selection activeCell="Q8" sqref="Q8"/>
    </sheetView>
  </sheetViews>
  <sheetFormatPr defaultRowHeight="12.75" x14ac:dyDescent="0.2"/>
  <cols>
    <col min="1" max="1" width="4.28515625" style="1" customWidth="1"/>
    <col min="2" max="2" width="5.42578125" style="1" customWidth="1"/>
    <col min="3" max="3" width="4.28515625" style="1" customWidth="1"/>
    <col min="4" max="4" width="5" style="1" customWidth="1"/>
    <col min="5" max="5" width="4.5703125" style="1" customWidth="1"/>
    <col min="6" max="6" width="5.5703125" style="1" customWidth="1"/>
    <col min="7" max="7" width="4.5703125" style="1" customWidth="1"/>
    <col min="8" max="8" width="7" style="1" customWidth="1"/>
    <col min="9" max="9" width="9.140625" style="1"/>
    <col min="10" max="10" width="37.85546875" style="1" customWidth="1"/>
    <col min="11" max="11" width="12.5703125" style="1" customWidth="1"/>
    <col min="12" max="13" width="12.85546875" style="1" customWidth="1"/>
    <col min="14" max="14" width="12.5703125" style="1" customWidth="1"/>
    <col min="15" max="15" width="9.140625" style="1"/>
    <col min="16" max="16" width="10.85546875" style="1" bestFit="1" customWidth="1"/>
    <col min="17" max="17" width="12.42578125" style="1" customWidth="1"/>
    <col min="18" max="18" width="11.42578125" style="1" customWidth="1"/>
    <col min="19" max="16384" width="9.140625" style="1"/>
  </cols>
  <sheetData>
    <row r="1" spans="1:18" ht="15.75" x14ac:dyDescent="0.25">
      <c r="E1" s="14"/>
      <c r="F1" s="8"/>
      <c r="G1" s="8"/>
      <c r="H1" s="8"/>
      <c r="I1" s="270" t="s">
        <v>398</v>
      </c>
      <c r="J1" s="270"/>
      <c r="K1" s="270"/>
      <c r="L1" s="271"/>
      <c r="M1" s="271"/>
      <c r="N1" s="271"/>
    </row>
    <row r="2" spans="1:18" ht="15.75" x14ac:dyDescent="0.25">
      <c r="E2" s="272" t="s">
        <v>408</v>
      </c>
      <c r="F2" s="272"/>
      <c r="G2" s="272"/>
      <c r="H2" s="272"/>
      <c r="I2" s="272"/>
      <c r="J2" s="272"/>
      <c r="K2" s="272"/>
      <c r="L2" s="273"/>
      <c r="M2" s="273"/>
      <c r="N2" s="273"/>
    </row>
    <row r="3" spans="1:18" ht="15.75" x14ac:dyDescent="0.25">
      <c r="E3" s="15"/>
      <c r="F3" s="136"/>
      <c r="G3" s="136"/>
      <c r="H3" s="271" t="s">
        <v>499</v>
      </c>
      <c r="I3" s="271"/>
      <c r="J3" s="271"/>
      <c r="K3" s="271"/>
      <c r="L3" s="271"/>
      <c r="M3" s="271"/>
      <c r="N3" s="271"/>
    </row>
    <row r="5" spans="1:18" ht="18.75" x14ac:dyDescent="0.3">
      <c r="A5" s="250" t="s">
        <v>496</v>
      </c>
      <c r="B5" s="250"/>
      <c r="C5" s="250"/>
      <c r="D5" s="250"/>
      <c r="E5" s="250"/>
      <c r="F5" s="250"/>
      <c r="G5" s="250"/>
      <c r="H5" s="250"/>
      <c r="I5" s="250"/>
      <c r="J5" s="250"/>
      <c r="K5" s="250"/>
      <c r="L5" s="250"/>
      <c r="M5" s="250"/>
      <c r="N5" s="250"/>
    </row>
    <row r="7" spans="1:18" x14ac:dyDescent="0.2">
      <c r="N7" s="1" t="s">
        <v>75</v>
      </c>
    </row>
    <row r="8" spans="1:18" ht="12.75" customHeight="1" x14ac:dyDescent="0.2">
      <c r="A8" s="284" t="s">
        <v>53</v>
      </c>
      <c r="B8" s="285" t="s">
        <v>89</v>
      </c>
      <c r="C8" s="286"/>
      <c r="D8" s="286"/>
      <c r="E8" s="286"/>
      <c r="F8" s="286"/>
      <c r="G8" s="286"/>
      <c r="H8" s="286"/>
      <c r="I8" s="286"/>
      <c r="J8" s="280" t="s">
        <v>90</v>
      </c>
      <c r="K8" s="281" t="s">
        <v>442</v>
      </c>
      <c r="L8" s="281" t="s">
        <v>494</v>
      </c>
      <c r="M8" s="281" t="s">
        <v>495</v>
      </c>
      <c r="N8" s="287" t="s">
        <v>274</v>
      </c>
    </row>
    <row r="9" spans="1:18" ht="167.25" x14ac:dyDescent="0.2">
      <c r="A9" s="284"/>
      <c r="B9" s="141" t="s">
        <v>91</v>
      </c>
      <c r="C9" s="141" t="s">
        <v>92</v>
      </c>
      <c r="D9" s="141" t="s">
        <v>93</v>
      </c>
      <c r="E9" s="141" t="s">
        <v>94</v>
      </c>
      <c r="F9" s="141" t="s">
        <v>95</v>
      </c>
      <c r="G9" s="141" t="s">
        <v>96</v>
      </c>
      <c r="H9" s="141" t="s">
        <v>97</v>
      </c>
      <c r="I9" s="141" t="s">
        <v>98</v>
      </c>
      <c r="J9" s="280"/>
      <c r="K9" s="282"/>
      <c r="L9" s="282"/>
      <c r="M9" s="282"/>
      <c r="N9" s="288"/>
    </row>
    <row r="10" spans="1:18" s="3" customFormat="1" x14ac:dyDescent="0.2">
      <c r="A10" s="142"/>
      <c r="B10" s="80">
        <v>1</v>
      </c>
      <c r="C10" s="80">
        <v>2</v>
      </c>
      <c r="D10" s="80">
        <v>3</v>
      </c>
      <c r="E10" s="80">
        <v>4</v>
      </c>
      <c r="F10" s="80">
        <v>5</v>
      </c>
      <c r="G10" s="80">
        <v>6</v>
      </c>
      <c r="H10" s="80">
        <v>7</v>
      </c>
      <c r="I10" s="80">
        <v>8</v>
      </c>
      <c r="J10" s="80">
        <v>9</v>
      </c>
      <c r="K10" s="21">
        <v>10</v>
      </c>
      <c r="L10" s="21">
        <v>11</v>
      </c>
      <c r="M10" s="21">
        <v>12</v>
      </c>
      <c r="N10" s="21">
        <v>13</v>
      </c>
    </row>
    <row r="11" spans="1:18" ht="25.5" x14ac:dyDescent="0.2">
      <c r="A11" s="96">
        <v>1</v>
      </c>
      <c r="B11" s="76" t="s">
        <v>22</v>
      </c>
      <c r="C11" s="76" t="s">
        <v>100</v>
      </c>
      <c r="D11" s="76" t="s">
        <v>101</v>
      </c>
      <c r="E11" s="76" t="s">
        <v>101</v>
      </c>
      <c r="F11" s="76" t="s">
        <v>22</v>
      </c>
      <c r="G11" s="76" t="s">
        <v>101</v>
      </c>
      <c r="H11" s="76" t="s">
        <v>102</v>
      </c>
      <c r="I11" s="76" t="s">
        <v>22</v>
      </c>
      <c r="J11" s="143" t="s">
        <v>99</v>
      </c>
      <c r="K11" s="27">
        <f>K12+K13+K19+K20+K21+K25+K26+K27+K31+K32+K29+K30+K33</f>
        <v>5835.8530000000001</v>
      </c>
      <c r="L11" s="27">
        <f>L12+L13+L19+L20+L21+L25+L26+L27+L31+L32+L29+L30+L33+L28</f>
        <v>5943.8530000000001</v>
      </c>
      <c r="M11" s="27">
        <f>M12+M13+M19+M20+M21+M25+M26+M27+M31+M32+M29+M30+M33+M28</f>
        <v>3455.9005700000002</v>
      </c>
      <c r="N11" s="82">
        <f>M11/L11*100</f>
        <v>58.142430002895431</v>
      </c>
      <c r="P11" s="20">
        <f>M11*1000</f>
        <v>3455900.5700000003</v>
      </c>
      <c r="Q11" s="20">
        <f>P11-2936425.64</f>
        <v>519474.93000000017</v>
      </c>
    </row>
    <row r="12" spans="1:18" x14ac:dyDescent="0.2">
      <c r="A12" s="21">
        <v>2</v>
      </c>
      <c r="B12" s="107" t="s">
        <v>103</v>
      </c>
      <c r="C12" s="107" t="s">
        <v>100</v>
      </c>
      <c r="D12" s="107" t="s">
        <v>104</v>
      </c>
      <c r="E12" s="107" t="s">
        <v>105</v>
      </c>
      <c r="F12" s="107" t="s">
        <v>22</v>
      </c>
      <c r="G12" s="107" t="s">
        <v>104</v>
      </c>
      <c r="H12" s="107" t="s">
        <v>102</v>
      </c>
      <c r="I12" s="107" t="s">
        <v>106</v>
      </c>
      <c r="J12" s="134" t="s">
        <v>12</v>
      </c>
      <c r="K12" s="25">
        <v>350</v>
      </c>
      <c r="L12" s="25">
        <v>350</v>
      </c>
      <c r="M12" s="25">
        <f>329.35762+0.20506+8.37244+1.7641+0.07808</f>
        <v>339.77729999999997</v>
      </c>
      <c r="N12" s="83">
        <f>M12/L12*100</f>
        <v>97.079228571428573</v>
      </c>
      <c r="P12" s="20">
        <f t="shared" ref="P12:P52" si="0">M12*1000</f>
        <v>339777.3</v>
      </c>
      <c r="Q12" s="20"/>
      <c r="R12" s="245">
        <f>78.08/1000</f>
        <v>7.8079999999999997E-2</v>
      </c>
    </row>
    <row r="13" spans="1:18" ht="39.75" customHeight="1" x14ac:dyDescent="0.2">
      <c r="A13" s="21">
        <v>3</v>
      </c>
      <c r="B13" s="22" t="s">
        <v>22</v>
      </c>
      <c r="C13" s="22" t="s">
        <v>100</v>
      </c>
      <c r="D13" s="22" t="s">
        <v>108</v>
      </c>
      <c r="E13" s="22" t="s">
        <v>105</v>
      </c>
      <c r="F13" s="22" t="s">
        <v>130</v>
      </c>
      <c r="G13" s="22" t="s">
        <v>104</v>
      </c>
      <c r="H13" s="22" t="s">
        <v>102</v>
      </c>
      <c r="I13" s="22" t="s">
        <v>106</v>
      </c>
      <c r="J13" s="19" t="s">
        <v>61</v>
      </c>
      <c r="K13" s="25">
        <f>SUM(K15:K18)</f>
        <v>726.1</v>
      </c>
      <c r="L13" s="68">
        <f>SUM(L15:L18)</f>
        <v>726.1</v>
      </c>
      <c r="M13" s="68">
        <f>SUM(M15:M18)</f>
        <v>611.45744000000013</v>
      </c>
      <c r="N13" s="83">
        <f t="shared" ref="N13:N52" si="1">M13/L13*100</f>
        <v>84.211188541523214</v>
      </c>
      <c r="P13" s="20">
        <f t="shared" si="0"/>
        <v>611457.44000000018</v>
      </c>
      <c r="Q13" s="20"/>
      <c r="R13" s="20">
        <v>87892.95</v>
      </c>
    </row>
    <row r="14" spans="1:18" x14ac:dyDescent="0.2">
      <c r="A14" s="21"/>
      <c r="B14" s="22"/>
      <c r="C14" s="22"/>
      <c r="D14" s="22"/>
      <c r="E14" s="22"/>
      <c r="F14" s="22"/>
      <c r="G14" s="22"/>
      <c r="H14" s="22"/>
      <c r="I14" s="22"/>
      <c r="J14" s="19" t="s">
        <v>111</v>
      </c>
      <c r="K14" s="25"/>
      <c r="L14" s="25"/>
      <c r="M14" s="25"/>
      <c r="N14" s="83"/>
      <c r="P14" s="20">
        <f t="shared" si="0"/>
        <v>0</v>
      </c>
      <c r="Q14" s="20"/>
      <c r="R14" s="20"/>
    </row>
    <row r="15" spans="1:18" ht="80.25" customHeight="1" x14ac:dyDescent="0.2">
      <c r="A15" s="22" t="s">
        <v>112</v>
      </c>
      <c r="B15" s="22" t="s">
        <v>70</v>
      </c>
      <c r="C15" s="22" t="s">
        <v>100</v>
      </c>
      <c r="D15" s="22" t="s">
        <v>108</v>
      </c>
      <c r="E15" s="22" t="s">
        <v>105</v>
      </c>
      <c r="F15" s="22" t="s">
        <v>254</v>
      </c>
      <c r="G15" s="22" t="s">
        <v>104</v>
      </c>
      <c r="H15" s="22" t="s">
        <v>102</v>
      </c>
      <c r="I15" s="22" t="s">
        <v>106</v>
      </c>
      <c r="J15" s="23" t="s">
        <v>62</v>
      </c>
      <c r="K15" s="25">
        <v>343.9</v>
      </c>
      <c r="L15" s="25">
        <v>343.9</v>
      </c>
      <c r="M15" s="25">
        <v>313.21102000000002</v>
      </c>
      <c r="N15" s="83">
        <f t="shared" si="1"/>
        <v>91.076190753125914</v>
      </c>
      <c r="P15" s="20">
        <f t="shared" si="0"/>
        <v>313211.02</v>
      </c>
      <c r="Q15" s="20"/>
      <c r="R15" s="20"/>
    </row>
    <row r="16" spans="1:18" ht="102.75" customHeight="1" x14ac:dyDescent="0.2">
      <c r="A16" s="22" t="s">
        <v>113</v>
      </c>
      <c r="B16" s="22" t="s">
        <v>70</v>
      </c>
      <c r="C16" s="22" t="s">
        <v>100</v>
      </c>
      <c r="D16" s="22" t="s">
        <v>108</v>
      </c>
      <c r="E16" s="22" t="s">
        <v>105</v>
      </c>
      <c r="F16" s="22" t="s">
        <v>255</v>
      </c>
      <c r="G16" s="22" t="s">
        <v>104</v>
      </c>
      <c r="H16" s="22" t="s">
        <v>102</v>
      </c>
      <c r="I16" s="22" t="s">
        <v>106</v>
      </c>
      <c r="J16" s="23" t="s">
        <v>63</v>
      </c>
      <c r="K16" s="25">
        <v>2.4</v>
      </c>
      <c r="L16" s="25">
        <v>2.4</v>
      </c>
      <c r="M16" s="25">
        <v>1.68763</v>
      </c>
      <c r="N16" s="83">
        <f t="shared" si="1"/>
        <v>70.317916666666662</v>
      </c>
      <c r="P16" s="20">
        <f t="shared" si="0"/>
        <v>1687.6299999999999</v>
      </c>
      <c r="Q16" s="20"/>
      <c r="R16" s="20"/>
    </row>
    <row r="17" spans="1:18" ht="78" customHeight="1" x14ac:dyDescent="0.2">
      <c r="A17" s="22" t="s">
        <v>114</v>
      </c>
      <c r="B17" s="22" t="s">
        <v>70</v>
      </c>
      <c r="C17" s="22" t="s">
        <v>100</v>
      </c>
      <c r="D17" s="22" t="s">
        <v>108</v>
      </c>
      <c r="E17" s="22" t="s">
        <v>105</v>
      </c>
      <c r="F17" s="22" t="s">
        <v>81</v>
      </c>
      <c r="G17" s="22" t="s">
        <v>104</v>
      </c>
      <c r="H17" s="22" t="s">
        <v>102</v>
      </c>
      <c r="I17" s="22" t="s">
        <v>106</v>
      </c>
      <c r="J17" s="23" t="s">
        <v>64</v>
      </c>
      <c r="K17" s="25">
        <v>425.2</v>
      </c>
      <c r="L17" s="25">
        <v>425.2</v>
      </c>
      <c r="M17" s="25">
        <v>333.30700000000002</v>
      </c>
      <c r="N17" s="83">
        <f t="shared" si="1"/>
        <v>78.388287864534348</v>
      </c>
      <c r="P17" s="20">
        <f t="shared" si="0"/>
        <v>333307</v>
      </c>
      <c r="Q17" s="20"/>
      <c r="R17" s="20"/>
    </row>
    <row r="18" spans="1:18" ht="77.25" customHeight="1" x14ac:dyDescent="0.2">
      <c r="A18" s="22" t="s">
        <v>115</v>
      </c>
      <c r="B18" s="22" t="s">
        <v>70</v>
      </c>
      <c r="C18" s="22" t="s">
        <v>100</v>
      </c>
      <c r="D18" s="22" t="s">
        <v>108</v>
      </c>
      <c r="E18" s="22" t="s">
        <v>105</v>
      </c>
      <c r="F18" s="22" t="s">
        <v>256</v>
      </c>
      <c r="G18" s="22" t="s">
        <v>104</v>
      </c>
      <c r="H18" s="22" t="s">
        <v>102</v>
      </c>
      <c r="I18" s="22" t="s">
        <v>106</v>
      </c>
      <c r="J18" s="23" t="s">
        <v>65</v>
      </c>
      <c r="K18" s="25">
        <v>-45.4</v>
      </c>
      <c r="L18" s="25">
        <v>-45.4</v>
      </c>
      <c r="M18" s="25">
        <v>-36.74821</v>
      </c>
      <c r="N18" s="83">
        <f t="shared" si="1"/>
        <v>80.943193832599121</v>
      </c>
      <c r="P18" s="20">
        <f t="shared" si="0"/>
        <v>-36748.21</v>
      </c>
      <c r="Q18" s="20"/>
      <c r="R18" s="20"/>
    </row>
    <row r="19" spans="1:18" ht="13.5" customHeight="1" x14ac:dyDescent="0.2">
      <c r="A19" s="21">
        <v>4</v>
      </c>
      <c r="B19" s="22" t="s">
        <v>103</v>
      </c>
      <c r="C19" s="22" t="s">
        <v>100</v>
      </c>
      <c r="D19" s="22" t="s">
        <v>109</v>
      </c>
      <c r="E19" s="22" t="s">
        <v>108</v>
      </c>
      <c r="F19" s="22" t="s">
        <v>22</v>
      </c>
      <c r="G19" s="22" t="s">
        <v>104</v>
      </c>
      <c r="H19" s="22" t="s">
        <v>102</v>
      </c>
      <c r="I19" s="22" t="s">
        <v>106</v>
      </c>
      <c r="J19" s="19" t="s">
        <v>11</v>
      </c>
      <c r="K19" s="25">
        <v>1.2</v>
      </c>
      <c r="L19" s="25">
        <v>1.2</v>
      </c>
      <c r="M19" s="25">
        <v>300.85700000000003</v>
      </c>
      <c r="N19" s="83">
        <f t="shared" si="1"/>
        <v>25071.416666666672</v>
      </c>
      <c r="P19" s="20">
        <f>M19*1000</f>
        <v>300857</v>
      </c>
      <c r="Q19" s="20"/>
      <c r="R19" s="20"/>
    </row>
    <row r="20" spans="1:18" ht="14.25" customHeight="1" x14ac:dyDescent="0.2">
      <c r="A20" s="21">
        <v>5</v>
      </c>
      <c r="B20" s="22" t="s">
        <v>103</v>
      </c>
      <c r="C20" s="22" t="s">
        <v>100</v>
      </c>
      <c r="D20" s="22" t="s">
        <v>110</v>
      </c>
      <c r="E20" s="22" t="s">
        <v>104</v>
      </c>
      <c r="F20" s="22" t="s">
        <v>22</v>
      </c>
      <c r="G20" s="22" t="s">
        <v>101</v>
      </c>
      <c r="H20" s="22" t="s">
        <v>102</v>
      </c>
      <c r="I20" s="22" t="s">
        <v>106</v>
      </c>
      <c r="J20" s="19" t="s">
        <v>54</v>
      </c>
      <c r="K20" s="25">
        <v>350</v>
      </c>
      <c r="L20" s="25">
        <v>350</v>
      </c>
      <c r="M20" s="25">
        <v>39.273919999999997</v>
      </c>
      <c r="N20" s="83">
        <f t="shared" si="1"/>
        <v>11.221119999999999</v>
      </c>
      <c r="P20" s="20">
        <f t="shared" si="0"/>
        <v>39273.919999999998</v>
      </c>
      <c r="Q20" s="20"/>
      <c r="R20" s="20"/>
    </row>
    <row r="21" spans="1:18" ht="15.75" customHeight="1" x14ac:dyDescent="0.2">
      <c r="A21" s="21">
        <v>6</v>
      </c>
      <c r="B21" s="21">
        <v>182</v>
      </c>
      <c r="C21" s="22" t="s">
        <v>100</v>
      </c>
      <c r="D21" s="22" t="s">
        <v>110</v>
      </c>
      <c r="E21" s="22" t="s">
        <v>110</v>
      </c>
      <c r="F21" s="22" t="s">
        <v>22</v>
      </c>
      <c r="G21" s="22" t="s">
        <v>101</v>
      </c>
      <c r="H21" s="22" t="s">
        <v>102</v>
      </c>
      <c r="I21" s="22" t="s">
        <v>106</v>
      </c>
      <c r="J21" s="19" t="s">
        <v>55</v>
      </c>
      <c r="K21" s="25">
        <f>SUM(K23:K24)</f>
        <v>3450</v>
      </c>
      <c r="L21" s="25">
        <f>SUM(L23:L24)</f>
        <v>3450</v>
      </c>
      <c r="M21" s="25">
        <f>SUM(M23:M24)</f>
        <v>1093.7817299999999</v>
      </c>
      <c r="N21" s="83">
        <f t="shared" si="1"/>
        <v>31.703818260869564</v>
      </c>
      <c r="P21" s="20">
        <f t="shared" si="0"/>
        <v>1093781.73</v>
      </c>
      <c r="Q21" s="20"/>
      <c r="R21" s="20"/>
    </row>
    <row r="22" spans="1:18" ht="14.25" customHeight="1" x14ac:dyDescent="0.2">
      <c r="A22" s="21"/>
      <c r="B22" s="135"/>
      <c r="C22" s="135"/>
      <c r="D22" s="135"/>
      <c r="E22" s="135"/>
      <c r="F22" s="135"/>
      <c r="G22" s="135"/>
      <c r="H22" s="135"/>
      <c r="I22" s="135"/>
      <c r="J22" s="19" t="s">
        <v>111</v>
      </c>
      <c r="K22" s="25"/>
      <c r="L22" s="29"/>
      <c r="M22" s="25"/>
      <c r="N22" s="83"/>
      <c r="P22" s="20">
        <f t="shared" si="0"/>
        <v>0</v>
      </c>
      <c r="Q22" s="20"/>
      <c r="R22" s="20"/>
    </row>
    <row r="23" spans="1:18" ht="42" customHeight="1" x14ac:dyDescent="0.2">
      <c r="A23" s="22" t="s">
        <v>116</v>
      </c>
      <c r="B23" s="21">
        <v>182</v>
      </c>
      <c r="C23" s="22" t="s">
        <v>100</v>
      </c>
      <c r="D23" s="22" t="s">
        <v>110</v>
      </c>
      <c r="E23" s="22" t="s">
        <v>110</v>
      </c>
      <c r="F23" s="22" t="s">
        <v>118</v>
      </c>
      <c r="G23" s="22" t="s">
        <v>119</v>
      </c>
      <c r="H23" s="22" t="s">
        <v>102</v>
      </c>
      <c r="I23" s="22" t="s">
        <v>106</v>
      </c>
      <c r="J23" s="19" t="s">
        <v>292</v>
      </c>
      <c r="K23" s="26">
        <v>2500</v>
      </c>
      <c r="L23" s="26">
        <v>2500</v>
      </c>
      <c r="M23" s="26">
        <f>908.28247+0.1</f>
        <v>908.38247000000001</v>
      </c>
      <c r="N23" s="83">
        <f t="shared" si="1"/>
        <v>36.335298799999997</v>
      </c>
      <c r="P23" s="20">
        <f t="shared" si="0"/>
        <v>908382.47</v>
      </c>
      <c r="Q23" s="20"/>
      <c r="R23" s="20"/>
    </row>
    <row r="24" spans="1:18" ht="52.5" customHeight="1" x14ac:dyDescent="0.2">
      <c r="A24" s="22" t="s">
        <v>117</v>
      </c>
      <c r="B24" s="21">
        <v>182</v>
      </c>
      <c r="C24" s="22" t="s">
        <v>100</v>
      </c>
      <c r="D24" s="22" t="s">
        <v>110</v>
      </c>
      <c r="E24" s="22" t="s">
        <v>110</v>
      </c>
      <c r="F24" s="22" t="s">
        <v>120</v>
      </c>
      <c r="G24" s="22" t="s">
        <v>119</v>
      </c>
      <c r="H24" s="22" t="s">
        <v>102</v>
      </c>
      <c r="I24" s="22" t="s">
        <v>106</v>
      </c>
      <c r="J24" s="19" t="s">
        <v>293</v>
      </c>
      <c r="K24" s="26">
        <v>950</v>
      </c>
      <c r="L24" s="26">
        <v>950</v>
      </c>
      <c r="M24" s="26">
        <f>185.39926</f>
        <v>185.39926</v>
      </c>
      <c r="N24" s="83">
        <f t="shared" si="1"/>
        <v>19.515711578947368</v>
      </c>
      <c r="P24" s="20">
        <f t="shared" si="0"/>
        <v>185399.26</v>
      </c>
      <c r="Q24" s="20"/>
      <c r="R24" s="20"/>
    </row>
    <row r="25" spans="1:18" ht="89.25" x14ac:dyDescent="0.2">
      <c r="A25" s="21">
        <v>7</v>
      </c>
      <c r="B25" s="21">
        <v>807</v>
      </c>
      <c r="C25" s="22" t="s">
        <v>100</v>
      </c>
      <c r="D25" s="22" t="s">
        <v>121</v>
      </c>
      <c r="E25" s="22" t="s">
        <v>122</v>
      </c>
      <c r="F25" s="22" t="s">
        <v>123</v>
      </c>
      <c r="G25" s="22" t="s">
        <v>104</v>
      </c>
      <c r="H25" s="22" t="s">
        <v>124</v>
      </c>
      <c r="I25" s="22" t="s">
        <v>106</v>
      </c>
      <c r="J25" s="19" t="s">
        <v>1</v>
      </c>
      <c r="K25" s="25">
        <v>5</v>
      </c>
      <c r="L25" s="25">
        <v>5</v>
      </c>
      <c r="M25" s="25">
        <v>8.3000000000000007</v>
      </c>
      <c r="N25" s="83">
        <f t="shared" si="1"/>
        <v>166</v>
      </c>
      <c r="P25" s="20">
        <f t="shared" si="0"/>
        <v>8300</v>
      </c>
      <c r="Q25" s="20"/>
      <c r="R25" s="20"/>
    </row>
    <row r="26" spans="1:18" ht="89.25" x14ac:dyDescent="0.2">
      <c r="A26" s="21">
        <v>8</v>
      </c>
      <c r="B26" s="21">
        <v>807</v>
      </c>
      <c r="C26" s="22" t="s">
        <v>100</v>
      </c>
      <c r="D26" s="22" t="s">
        <v>125</v>
      </c>
      <c r="E26" s="22" t="s">
        <v>109</v>
      </c>
      <c r="F26" s="22" t="s">
        <v>81</v>
      </c>
      <c r="G26" s="22" t="s">
        <v>101</v>
      </c>
      <c r="H26" s="22" t="s">
        <v>102</v>
      </c>
      <c r="I26" s="22" t="s">
        <v>74</v>
      </c>
      <c r="J26" s="19" t="s">
        <v>84</v>
      </c>
      <c r="K26" s="26">
        <v>480</v>
      </c>
      <c r="L26" s="26">
        <v>540</v>
      </c>
      <c r="M26" s="26">
        <v>678.41443000000004</v>
      </c>
      <c r="N26" s="83">
        <f t="shared" si="1"/>
        <v>125.63230185185186</v>
      </c>
      <c r="P26" s="20">
        <f t="shared" si="0"/>
        <v>678414.43</v>
      </c>
      <c r="Q26" s="20"/>
      <c r="R26" s="20"/>
    </row>
    <row r="27" spans="1:18" ht="63.75" customHeight="1" x14ac:dyDescent="0.2">
      <c r="A27" s="21">
        <v>9</v>
      </c>
      <c r="B27" s="21">
        <v>807</v>
      </c>
      <c r="C27" s="22" t="s">
        <v>100</v>
      </c>
      <c r="D27" s="22" t="s">
        <v>125</v>
      </c>
      <c r="E27" s="22" t="s">
        <v>109</v>
      </c>
      <c r="F27" s="22" t="s">
        <v>126</v>
      </c>
      <c r="G27" s="22" t="s">
        <v>101</v>
      </c>
      <c r="H27" s="22" t="s">
        <v>102</v>
      </c>
      <c r="I27" s="22" t="s">
        <v>74</v>
      </c>
      <c r="J27" s="19" t="s">
        <v>85</v>
      </c>
      <c r="K27" s="26">
        <v>100</v>
      </c>
      <c r="L27" s="26">
        <v>140</v>
      </c>
      <c r="M27" s="26">
        <v>145.70446999999999</v>
      </c>
      <c r="N27" s="83">
        <f t="shared" si="1"/>
        <v>104.07462142857142</v>
      </c>
      <c r="P27" s="20">
        <f t="shared" si="0"/>
        <v>145704.46999999997</v>
      </c>
      <c r="Q27" s="20"/>
      <c r="R27" s="20"/>
    </row>
    <row r="28" spans="1:18" ht="40.5" customHeight="1" x14ac:dyDescent="0.2">
      <c r="A28" s="21">
        <v>10</v>
      </c>
      <c r="B28" s="21">
        <v>807</v>
      </c>
      <c r="C28" s="22" t="s">
        <v>100</v>
      </c>
      <c r="D28" s="22" t="s">
        <v>264</v>
      </c>
      <c r="E28" s="22" t="s">
        <v>105</v>
      </c>
      <c r="F28" s="22" t="s">
        <v>443</v>
      </c>
      <c r="G28" s="22" t="s">
        <v>119</v>
      </c>
      <c r="H28" s="22" t="s">
        <v>102</v>
      </c>
      <c r="I28" s="22" t="s">
        <v>266</v>
      </c>
      <c r="J28" s="19" t="s">
        <v>444</v>
      </c>
      <c r="K28" s="78">
        <v>0</v>
      </c>
      <c r="L28" s="26">
        <v>0</v>
      </c>
      <c r="M28" s="26">
        <v>0</v>
      </c>
      <c r="N28" s="83">
        <v>0</v>
      </c>
      <c r="P28" s="20"/>
      <c r="Q28" s="20"/>
      <c r="R28" s="20"/>
    </row>
    <row r="29" spans="1:18" ht="25.5" x14ac:dyDescent="0.2">
      <c r="A29" s="21">
        <v>11</v>
      </c>
      <c r="B29" s="21">
        <v>807</v>
      </c>
      <c r="C29" s="22" t="s">
        <v>100</v>
      </c>
      <c r="D29" s="22" t="s">
        <v>264</v>
      </c>
      <c r="E29" s="22" t="s">
        <v>105</v>
      </c>
      <c r="F29" s="22" t="s">
        <v>265</v>
      </c>
      <c r="G29" s="22" t="s">
        <v>119</v>
      </c>
      <c r="H29" s="22" t="s">
        <v>102</v>
      </c>
      <c r="I29" s="22" t="s">
        <v>266</v>
      </c>
      <c r="J29" s="19" t="s">
        <v>263</v>
      </c>
      <c r="K29" s="78">
        <v>373.553</v>
      </c>
      <c r="L29" s="26">
        <v>373.553</v>
      </c>
      <c r="M29" s="26">
        <v>228.33428000000001</v>
      </c>
      <c r="N29" s="83">
        <f t="shared" si="1"/>
        <v>61.125002342371772</v>
      </c>
      <c r="P29" s="20">
        <f t="shared" si="0"/>
        <v>228334.28</v>
      </c>
      <c r="Q29" s="20"/>
      <c r="R29" s="20"/>
    </row>
    <row r="30" spans="1:18" ht="25.5" x14ac:dyDescent="0.2">
      <c r="A30" s="21">
        <v>12</v>
      </c>
      <c r="B30" s="21">
        <v>807</v>
      </c>
      <c r="C30" s="22" t="s">
        <v>100</v>
      </c>
      <c r="D30" s="22" t="s">
        <v>315</v>
      </c>
      <c r="E30" s="22" t="s">
        <v>104</v>
      </c>
      <c r="F30" s="22" t="s">
        <v>386</v>
      </c>
      <c r="G30" s="22" t="s">
        <v>119</v>
      </c>
      <c r="H30" s="22" t="s">
        <v>102</v>
      </c>
      <c r="I30" s="22" t="s">
        <v>387</v>
      </c>
      <c r="J30" s="19" t="s">
        <v>388</v>
      </c>
      <c r="K30" s="26">
        <v>0</v>
      </c>
      <c r="L30" s="26">
        <v>0</v>
      </c>
      <c r="M30" s="26">
        <v>0</v>
      </c>
      <c r="N30" s="83">
        <v>0</v>
      </c>
      <c r="P30" s="20">
        <f t="shared" si="0"/>
        <v>0</v>
      </c>
      <c r="Q30" s="20"/>
      <c r="R30" s="20"/>
    </row>
    <row r="31" spans="1:18" ht="101.25" customHeight="1" x14ac:dyDescent="0.2">
      <c r="A31" s="21">
        <v>13</v>
      </c>
      <c r="B31" s="21">
        <v>807</v>
      </c>
      <c r="C31" s="22" t="s">
        <v>100</v>
      </c>
      <c r="D31" s="22" t="s">
        <v>134</v>
      </c>
      <c r="E31" s="22" t="s">
        <v>105</v>
      </c>
      <c r="F31" s="22" t="s">
        <v>135</v>
      </c>
      <c r="G31" s="22" t="s">
        <v>119</v>
      </c>
      <c r="H31" s="22" t="s">
        <v>102</v>
      </c>
      <c r="I31" s="22" t="s">
        <v>136</v>
      </c>
      <c r="J31" s="19" t="s">
        <v>87</v>
      </c>
      <c r="K31" s="26">
        <v>0</v>
      </c>
      <c r="L31" s="26">
        <v>0</v>
      </c>
      <c r="M31" s="26">
        <v>0</v>
      </c>
      <c r="N31" s="83">
        <v>0</v>
      </c>
      <c r="P31" s="20">
        <f t="shared" si="0"/>
        <v>0</v>
      </c>
      <c r="Q31" s="20"/>
      <c r="R31" s="20"/>
    </row>
    <row r="32" spans="1:18" ht="65.25" customHeight="1" x14ac:dyDescent="0.2">
      <c r="A32" s="21">
        <v>14</v>
      </c>
      <c r="B32" s="21">
        <v>807</v>
      </c>
      <c r="C32" s="22" t="s">
        <v>100</v>
      </c>
      <c r="D32" s="22" t="s">
        <v>134</v>
      </c>
      <c r="E32" s="22" t="s">
        <v>110</v>
      </c>
      <c r="F32" s="22" t="s">
        <v>137</v>
      </c>
      <c r="G32" s="22" t="s">
        <v>119</v>
      </c>
      <c r="H32" s="22" t="s">
        <v>102</v>
      </c>
      <c r="I32" s="22" t="s">
        <v>138</v>
      </c>
      <c r="J32" s="19" t="s">
        <v>86</v>
      </c>
      <c r="K32" s="26">
        <v>0</v>
      </c>
      <c r="L32" s="26">
        <v>0</v>
      </c>
      <c r="M32" s="26">
        <v>0</v>
      </c>
      <c r="N32" s="83">
        <v>0</v>
      </c>
      <c r="P32" s="20">
        <f t="shared" si="0"/>
        <v>0</v>
      </c>
      <c r="Q32" s="20"/>
      <c r="R32" s="20"/>
    </row>
    <row r="33" spans="1:18" ht="65.25" customHeight="1" x14ac:dyDescent="0.2">
      <c r="A33" s="21">
        <v>15</v>
      </c>
      <c r="B33" s="21">
        <v>807</v>
      </c>
      <c r="C33" s="22" t="s">
        <v>100</v>
      </c>
      <c r="D33" s="22" t="s">
        <v>297</v>
      </c>
      <c r="E33" s="22" t="s">
        <v>105</v>
      </c>
      <c r="F33" s="22" t="s">
        <v>123</v>
      </c>
      <c r="G33" s="22" t="s">
        <v>105</v>
      </c>
      <c r="H33" s="22" t="s">
        <v>102</v>
      </c>
      <c r="I33" s="22" t="s">
        <v>445</v>
      </c>
      <c r="J33" s="19" t="s">
        <v>446</v>
      </c>
      <c r="K33" s="26">
        <v>0</v>
      </c>
      <c r="L33" s="26">
        <v>8</v>
      </c>
      <c r="M33" s="26">
        <v>10</v>
      </c>
      <c r="N33" s="83">
        <f t="shared" si="1"/>
        <v>125</v>
      </c>
      <c r="P33" s="20"/>
      <c r="Q33" s="20"/>
      <c r="R33" s="20"/>
    </row>
    <row r="34" spans="1:18" x14ac:dyDescent="0.2">
      <c r="A34" s="96">
        <v>16</v>
      </c>
      <c r="B34" s="76" t="s">
        <v>22</v>
      </c>
      <c r="C34" s="76" t="s">
        <v>127</v>
      </c>
      <c r="D34" s="76" t="s">
        <v>101</v>
      </c>
      <c r="E34" s="76" t="s">
        <v>101</v>
      </c>
      <c r="F34" s="76" t="s">
        <v>22</v>
      </c>
      <c r="G34" s="76" t="s">
        <v>101</v>
      </c>
      <c r="H34" s="76" t="s">
        <v>102</v>
      </c>
      <c r="I34" s="76" t="s">
        <v>22</v>
      </c>
      <c r="J34" s="65" t="s">
        <v>128</v>
      </c>
      <c r="K34" s="77">
        <f>K35+K39+K43</f>
        <v>6720.7849999999999</v>
      </c>
      <c r="L34" s="77">
        <f>L35+L39+L43</f>
        <v>7479.0167199999996</v>
      </c>
      <c r="M34" s="77">
        <f>M35+M39+M43</f>
        <v>5733.3327200000003</v>
      </c>
      <c r="N34" s="83">
        <f t="shared" si="1"/>
        <v>76.658910317291017</v>
      </c>
      <c r="P34" s="20">
        <f t="shared" si="0"/>
        <v>5733332.7200000007</v>
      </c>
      <c r="Q34" s="20"/>
      <c r="R34" s="20"/>
    </row>
    <row r="35" spans="1:18" ht="26.25" customHeight="1" x14ac:dyDescent="0.2">
      <c r="A35" s="21">
        <v>17</v>
      </c>
      <c r="B35" s="22" t="s">
        <v>129</v>
      </c>
      <c r="C35" s="22" t="s">
        <v>127</v>
      </c>
      <c r="D35" s="22" t="s">
        <v>105</v>
      </c>
      <c r="E35" s="22" t="s">
        <v>197</v>
      </c>
      <c r="F35" s="22" t="s">
        <v>22</v>
      </c>
      <c r="G35" s="22" t="s">
        <v>101</v>
      </c>
      <c r="H35" s="22" t="s">
        <v>102</v>
      </c>
      <c r="I35" s="22" t="s">
        <v>251</v>
      </c>
      <c r="J35" s="19" t="s">
        <v>252</v>
      </c>
      <c r="K35" s="68">
        <f>SUM(K37:K38)</f>
        <v>2364.3310000000001</v>
      </c>
      <c r="L35" s="68">
        <f>SUM(L37:L38)</f>
        <v>2364.3310000000001</v>
      </c>
      <c r="M35" s="68">
        <f>SUM(M37:M38)</f>
        <v>2066.6120000000001</v>
      </c>
      <c r="N35" s="83">
        <f t="shared" si="1"/>
        <v>87.407896779258067</v>
      </c>
      <c r="P35" s="20">
        <f t="shared" si="0"/>
        <v>2066612</v>
      </c>
      <c r="Q35" s="20"/>
      <c r="R35" s="20"/>
    </row>
    <row r="36" spans="1:18" x14ac:dyDescent="0.2">
      <c r="A36" s="21"/>
      <c r="B36" s="17"/>
      <c r="C36" s="17"/>
      <c r="D36" s="17"/>
      <c r="E36" s="17"/>
      <c r="F36" s="17"/>
      <c r="G36" s="17"/>
      <c r="H36" s="17"/>
      <c r="I36" s="17"/>
      <c r="J36" s="19" t="s">
        <v>111</v>
      </c>
      <c r="K36" s="27"/>
      <c r="L36" s="26"/>
      <c r="M36" s="26"/>
      <c r="N36" s="83"/>
      <c r="P36" s="20">
        <f t="shared" si="0"/>
        <v>0</v>
      </c>
      <c r="Q36" s="20"/>
      <c r="R36" s="20"/>
    </row>
    <row r="37" spans="1:18" ht="229.5" x14ac:dyDescent="0.2">
      <c r="A37" s="22" t="s">
        <v>435</v>
      </c>
      <c r="B37" s="22" t="s">
        <v>129</v>
      </c>
      <c r="C37" s="22" t="s">
        <v>127</v>
      </c>
      <c r="D37" s="22" t="s">
        <v>105</v>
      </c>
      <c r="E37" s="22" t="s">
        <v>197</v>
      </c>
      <c r="F37" s="22" t="s">
        <v>130</v>
      </c>
      <c r="G37" s="22" t="s">
        <v>119</v>
      </c>
      <c r="H37" s="22" t="s">
        <v>234</v>
      </c>
      <c r="I37" s="22" t="s">
        <v>251</v>
      </c>
      <c r="J37" s="19" t="s">
        <v>288</v>
      </c>
      <c r="K37" s="78">
        <v>1191.4190000000001</v>
      </c>
      <c r="L37" s="26">
        <v>1191.4190000000001</v>
      </c>
      <c r="M37" s="26">
        <v>893.7</v>
      </c>
      <c r="N37" s="83">
        <f t="shared" si="1"/>
        <v>75.011393976426433</v>
      </c>
      <c r="P37" s="20">
        <f t="shared" si="0"/>
        <v>893700</v>
      </c>
      <c r="Q37" s="20"/>
      <c r="R37" s="20"/>
    </row>
    <row r="38" spans="1:18" ht="164.25" customHeight="1" x14ac:dyDescent="0.2">
      <c r="A38" s="22" t="s">
        <v>447</v>
      </c>
      <c r="B38" s="22" t="s">
        <v>129</v>
      </c>
      <c r="C38" s="22" t="s">
        <v>127</v>
      </c>
      <c r="D38" s="22" t="s">
        <v>105</v>
      </c>
      <c r="E38" s="22" t="s">
        <v>197</v>
      </c>
      <c r="F38" s="22" t="s">
        <v>130</v>
      </c>
      <c r="G38" s="22" t="s">
        <v>119</v>
      </c>
      <c r="H38" s="22" t="s">
        <v>372</v>
      </c>
      <c r="I38" s="22" t="s">
        <v>251</v>
      </c>
      <c r="J38" s="19" t="s">
        <v>287</v>
      </c>
      <c r="K38" s="78">
        <v>1172.912</v>
      </c>
      <c r="L38" s="26">
        <v>1172.912</v>
      </c>
      <c r="M38" s="26">
        <v>1172.912</v>
      </c>
      <c r="N38" s="83">
        <f t="shared" si="1"/>
        <v>100</v>
      </c>
      <c r="P38" s="20"/>
      <c r="Q38" s="20"/>
      <c r="R38" s="20"/>
    </row>
    <row r="39" spans="1:18" s="3" customFormat="1" ht="25.5" x14ac:dyDescent="0.2">
      <c r="A39" s="22" t="s">
        <v>316</v>
      </c>
      <c r="B39" s="22" t="s">
        <v>22</v>
      </c>
      <c r="C39" s="22" t="s">
        <v>127</v>
      </c>
      <c r="D39" s="22" t="s">
        <v>105</v>
      </c>
      <c r="E39" s="22" t="s">
        <v>198</v>
      </c>
      <c r="F39" s="22" t="s">
        <v>22</v>
      </c>
      <c r="G39" s="22" t="s">
        <v>101</v>
      </c>
      <c r="H39" s="22" t="s">
        <v>102</v>
      </c>
      <c r="I39" s="22" t="s">
        <v>251</v>
      </c>
      <c r="J39" s="19" t="s">
        <v>253</v>
      </c>
      <c r="K39" s="26">
        <f>SUM(K41:K42)</f>
        <v>457.86699999999996</v>
      </c>
      <c r="L39" s="26">
        <f>SUM(L41:L42)</f>
        <v>537.71999999999991</v>
      </c>
      <c r="M39" s="26">
        <f>SUM(M41:M42)</f>
        <v>450.08300000000003</v>
      </c>
      <c r="N39" s="83">
        <f t="shared" si="1"/>
        <v>83.702112623670331</v>
      </c>
      <c r="P39" s="20">
        <f t="shared" si="0"/>
        <v>450083</v>
      </c>
      <c r="Q39" s="20"/>
      <c r="R39" s="20"/>
    </row>
    <row r="40" spans="1:18" s="3" customFormat="1" x14ac:dyDescent="0.2">
      <c r="A40" s="97"/>
      <c r="B40" s="135"/>
      <c r="C40" s="135"/>
      <c r="D40" s="135"/>
      <c r="E40" s="135"/>
      <c r="F40" s="135"/>
      <c r="G40" s="135"/>
      <c r="H40" s="135"/>
      <c r="I40" s="135"/>
      <c r="J40" s="19" t="s">
        <v>111</v>
      </c>
      <c r="K40" s="26"/>
      <c r="L40" s="78"/>
      <c r="M40" s="78"/>
      <c r="N40" s="83"/>
      <c r="P40" s="20">
        <f t="shared" si="0"/>
        <v>0</v>
      </c>
      <c r="Q40" s="20"/>
      <c r="R40" s="20"/>
    </row>
    <row r="41" spans="1:18" s="3" customFormat="1" ht="51.75" customHeight="1" x14ac:dyDescent="0.2">
      <c r="A41" s="22" t="s">
        <v>436</v>
      </c>
      <c r="B41" s="22" t="s">
        <v>129</v>
      </c>
      <c r="C41" s="22" t="s">
        <v>127</v>
      </c>
      <c r="D41" s="22" t="s">
        <v>105</v>
      </c>
      <c r="E41" s="22" t="s">
        <v>295</v>
      </c>
      <c r="F41" s="22" t="s">
        <v>296</v>
      </c>
      <c r="G41" s="22" t="s">
        <v>119</v>
      </c>
      <c r="H41" s="22" t="s">
        <v>102</v>
      </c>
      <c r="I41" s="22" t="s">
        <v>251</v>
      </c>
      <c r="J41" s="19" t="s">
        <v>289</v>
      </c>
      <c r="K41" s="26">
        <v>443.13299999999998</v>
      </c>
      <c r="L41" s="26">
        <v>522.63699999999994</v>
      </c>
      <c r="M41" s="26">
        <v>435</v>
      </c>
      <c r="N41" s="83">
        <f>M41/L41*100</f>
        <v>83.231765068297889</v>
      </c>
      <c r="P41" s="20">
        <f t="shared" si="0"/>
        <v>435000</v>
      </c>
      <c r="Q41" s="20"/>
      <c r="R41" s="20"/>
    </row>
    <row r="42" spans="1:18" s="3" customFormat="1" ht="63.75" x14ac:dyDescent="0.2">
      <c r="A42" s="22" t="s">
        <v>448</v>
      </c>
      <c r="B42" s="22" t="s">
        <v>129</v>
      </c>
      <c r="C42" s="22" t="s">
        <v>127</v>
      </c>
      <c r="D42" s="22" t="s">
        <v>105</v>
      </c>
      <c r="E42" s="22" t="s">
        <v>198</v>
      </c>
      <c r="F42" s="22" t="s">
        <v>132</v>
      </c>
      <c r="G42" s="22" t="s">
        <v>119</v>
      </c>
      <c r="H42" s="22" t="s">
        <v>166</v>
      </c>
      <c r="I42" s="22" t="s">
        <v>251</v>
      </c>
      <c r="J42" s="19" t="s">
        <v>385</v>
      </c>
      <c r="K42" s="26">
        <v>14.734</v>
      </c>
      <c r="L42" s="26">
        <v>15.083</v>
      </c>
      <c r="M42" s="26">
        <v>15.083</v>
      </c>
      <c r="N42" s="83">
        <f t="shared" si="1"/>
        <v>100</v>
      </c>
      <c r="P42" s="20">
        <f t="shared" si="0"/>
        <v>15083</v>
      </c>
      <c r="Q42" s="20"/>
      <c r="R42" s="20"/>
    </row>
    <row r="43" spans="1:18" x14ac:dyDescent="0.2">
      <c r="A43" s="21">
        <v>19</v>
      </c>
      <c r="B43" s="22" t="s">
        <v>22</v>
      </c>
      <c r="C43" s="22" t="s">
        <v>127</v>
      </c>
      <c r="D43" s="22" t="s">
        <v>105</v>
      </c>
      <c r="E43" s="22" t="s">
        <v>200</v>
      </c>
      <c r="F43" s="22" t="s">
        <v>22</v>
      </c>
      <c r="G43" s="22" t="s">
        <v>101</v>
      </c>
      <c r="H43" s="22" t="s">
        <v>102</v>
      </c>
      <c r="I43" s="22" t="s">
        <v>251</v>
      </c>
      <c r="J43" s="19" t="s">
        <v>56</v>
      </c>
      <c r="K43" s="26">
        <f>SUM(K45:K51)</f>
        <v>3898.587</v>
      </c>
      <c r="L43" s="26">
        <f>SUM(L45:L51)</f>
        <v>4576.9657200000001</v>
      </c>
      <c r="M43" s="26">
        <f>SUM(M45:M51)</f>
        <v>3216.6377200000002</v>
      </c>
      <c r="N43" s="26">
        <f>SUM(N45:N49)</f>
        <v>459.56674110900087</v>
      </c>
      <c r="O43" s="3"/>
      <c r="P43" s="20">
        <f t="shared" si="0"/>
        <v>3216637.72</v>
      </c>
      <c r="Q43" s="20"/>
      <c r="R43" s="20"/>
    </row>
    <row r="44" spans="1:18" x14ac:dyDescent="0.2">
      <c r="A44" s="97"/>
      <c r="B44" s="135"/>
      <c r="C44" s="135"/>
      <c r="D44" s="135"/>
      <c r="E44" s="135"/>
      <c r="F44" s="135"/>
      <c r="G44" s="135"/>
      <c r="H44" s="135"/>
      <c r="I44" s="135"/>
      <c r="J44" s="19" t="s">
        <v>111</v>
      </c>
      <c r="K44" s="26"/>
      <c r="L44" s="26"/>
      <c r="M44" s="26"/>
      <c r="N44" s="26"/>
      <c r="O44" s="3"/>
      <c r="P44" s="20">
        <f t="shared" si="0"/>
        <v>0</v>
      </c>
      <c r="Q44" s="20"/>
      <c r="R44" s="20"/>
    </row>
    <row r="45" spans="1:18" ht="49.5" customHeight="1" x14ac:dyDescent="0.2">
      <c r="A45" s="144" t="s">
        <v>449</v>
      </c>
      <c r="B45" s="22" t="s">
        <v>129</v>
      </c>
      <c r="C45" s="22" t="s">
        <v>127</v>
      </c>
      <c r="D45" s="22" t="s">
        <v>105</v>
      </c>
      <c r="E45" s="22" t="s">
        <v>199</v>
      </c>
      <c r="F45" s="22" t="s">
        <v>131</v>
      </c>
      <c r="G45" s="22" t="s">
        <v>119</v>
      </c>
      <c r="H45" s="22" t="s">
        <v>437</v>
      </c>
      <c r="I45" s="22" t="s">
        <v>251</v>
      </c>
      <c r="J45" s="19" t="s">
        <v>438</v>
      </c>
      <c r="K45" s="26">
        <v>0</v>
      </c>
      <c r="L45" s="26">
        <v>226.64572000000001</v>
      </c>
      <c r="M45" s="26">
        <v>226.64572000000001</v>
      </c>
      <c r="N45" s="83">
        <f t="shared" ref="N45:N51" si="2">M45/L45*100</f>
        <v>100</v>
      </c>
      <c r="O45" s="3"/>
      <c r="P45" s="20"/>
      <c r="Q45" s="20"/>
      <c r="R45" s="20"/>
    </row>
    <row r="46" spans="1:18" ht="119.25" customHeight="1" x14ac:dyDescent="0.2">
      <c r="A46" s="144" t="s">
        <v>450</v>
      </c>
      <c r="B46" s="21">
        <v>807</v>
      </c>
      <c r="C46" s="21">
        <v>2</v>
      </c>
      <c r="D46" s="22" t="s">
        <v>105</v>
      </c>
      <c r="E46" s="21">
        <v>49</v>
      </c>
      <c r="F46" s="21">
        <v>999</v>
      </c>
      <c r="G46" s="21">
        <v>10</v>
      </c>
      <c r="H46" s="21">
        <v>9235</v>
      </c>
      <c r="I46" s="21">
        <v>150</v>
      </c>
      <c r="J46" s="19" t="s">
        <v>417</v>
      </c>
      <c r="K46" s="26">
        <v>0</v>
      </c>
      <c r="L46" s="26">
        <v>18.100000000000001</v>
      </c>
      <c r="M46" s="26">
        <v>18.100000000000001</v>
      </c>
      <c r="N46" s="83">
        <f>M46/L46*100</f>
        <v>100</v>
      </c>
      <c r="O46" s="3"/>
      <c r="P46" s="20"/>
      <c r="Q46" s="20"/>
      <c r="R46" s="20"/>
    </row>
    <row r="47" spans="1:18" s="3" customFormat="1" ht="39.75" customHeight="1" x14ac:dyDescent="0.2">
      <c r="A47" s="144" t="s">
        <v>451</v>
      </c>
      <c r="B47" s="21">
        <v>807</v>
      </c>
      <c r="C47" s="21">
        <v>2</v>
      </c>
      <c r="D47" s="22" t="s">
        <v>105</v>
      </c>
      <c r="E47" s="21">
        <v>49</v>
      </c>
      <c r="F47" s="21">
        <v>999</v>
      </c>
      <c r="G47" s="21">
        <v>10</v>
      </c>
      <c r="H47" s="21">
        <v>9179</v>
      </c>
      <c r="I47" s="21">
        <v>150</v>
      </c>
      <c r="J47" s="19" t="s">
        <v>422</v>
      </c>
      <c r="K47" s="26">
        <v>343.98399999999998</v>
      </c>
      <c r="L47" s="26">
        <v>343.98399999999998</v>
      </c>
      <c r="M47" s="26">
        <v>343.98399999999998</v>
      </c>
      <c r="N47" s="83">
        <f t="shared" si="2"/>
        <v>100</v>
      </c>
      <c r="P47" s="20"/>
    </row>
    <row r="48" spans="1:18" s="3" customFormat="1" ht="167.25" customHeight="1" x14ac:dyDescent="0.2">
      <c r="A48" s="144" t="s">
        <v>452</v>
      </c>
      <c r="B48" s="22" t="s">
        <v>129</v>
      </c>
      <c r="C48" s="22" t="s">
        <v>127</v>
      </c>
      <c r="D48" s="22" t="s">
        <v>105</v>
      </c>
      <c r="E48" s="22" t="s">
        <v>199</v>
      </c>
      <c r="F48" s="22" t="s">
        <v>131</v>
      </c>
      <c r="G48" s="22" t="s">
        <v>119</v>
      </c>
      <c r="H48" s="22" t="s">
        <v>201</v>
      </c>
      <c r="I48" s="22" t="s">
        <v>251</v>
      </c>
      <c r="J48" s="19" t="s">
        <v>291</v>
      </c>
      <c r="K48" s="78">
        <v>3107.1030000000001</v>
      </c>
      <c r="L48" s="26">
        <v>3107.1030000000001</v>
      </c>
      <c r="M48" s="26">
        <v>1850.8</v>
      </c>
      <c r="N48" s="83">
        <f t="shared" si="2"/>
        <v>59.566741109000887</v>
      </c>
      <c r="P48" s="20"/>
    </row>
    <row r="49" spans="1:16" s="3" customFormat="1" ht="117" customHeight="1" x14ac:dyDescent="0.2">
      <c r="A49" s="24" t="s">
        <v>453</v>
      </c>
      <c r="B49" s="22" t="s">
        <v>129</v>
      </c>
      <c r="C49" s="22" t="s">
        <v>127</v>
      </c>
      <c r="D49" s="22" t="s">
        <v>105</v>
      </c>
      <c r="E49" s="22" t="s">
        <v>199</v>
      </c>
      <c r="F49" s="22" t="s">
        <v>131</v>
      </c>
      <c r="G49" s="22" t="s">
        <v>119</v>
      </c>
      <c r="H49" s="22" t="s">
        <v>184</v>
      </c>
      <c r="I49" s="22" t="s">
        <v>251</v>
      </c>
      <c r="J49" s="19" t="s">
        <v>421</v>
      </c>
      <c r="K49" s="78">
        <v>447.5</v>
      </c>
      <c r="L49" s="78">
        <v>447.5</v>
      </c>
      <c r="M49" s="26">
        <v>447.5</v>
      </c>
      <c r="N49" s="83">
        <f t="shared" si="2"/>
        <v>100</v>
      </c>
      <c r="O49" s="1"/>
      <c r="P49" s="20">
        <f>M49*1000</f>
        <v>447500</v>
      </c>
    </row>
    <row r="50" spans="1:16" s="3" customFormat="1" ht="51" x14ac:dyDescent="0.2">
      <c r="A50" s="24" t="s">
        <v>473</v>
      </c>
      <c r="B50" s="22" t="s">
        <v>129</v>
      </c>
      <c r="C50" s="22" t="s">
        <v>127</v>
      </c>
      <c r="D50" s="22" t="s">
        <v>105</v>
      </c>
      <c r="E50" s="22" t="s">
        <v>199</v>
      </c>
      <c r="F50" s="22" t="s">
        <v>131</v>
      </c>
      <c r="G50" s="22" t="s">
        <v>119</v>
      </c>
      <c r="H50" s="22" t="s">
        <v>475</v>
      </c>
      <c r="I50" s="22" t="s">
        <v>251</v>
      </c>
      <c r="J50" s="19" t="s">
        <v>476</v>
      </c>
      <c r="K50" s="78">
        <v>0</v>
      </c>
      <c r="L50" s="78">
        <v>225.583</v>
      </c>
      <c r="M50" s="26">
        <v>225.583</v>
      </c>
      <c r="N50" s="83">
        <f t="shared" si="2"/>
        <v>100</v>
      </c>
      <c r="O50" s="1"/>
      <c r="P50" s="20"/>
    </row>
    <row r="51" spans="1:16" s="3" customFormat="1" ht="76.5" x14ac:dyDescent="0.2">
      <c r="A51" s="24" t="s">
        <v>474</v>
      </c>
      <c r="B51" s="22" t="s">
        <v>129</v>
      </c>
      <c r="C51" s="22" t="s">
        <v>127</v>
      </c>
      <c r="D51" s="22" t="s">
        <v>105</v>
      </c>
      <c r="E51" s="22" t="s">
        <v>199</v>
      </c>
      <c r="F51" s="22" t="s">
        <v>131</v>
      </c>
      <c r="G51" s="22" t="s">
        <v>119</v>
      </c>
      <c r="H51" s="22" t="s">
        <v>477</v>
      </c>
      <c r="I51" s="22" t="s">
        <v>251</v>
      </c>
      <c r="J51" s="19" t="s">
        <v>478</v>
      </c>
      <c r="K51" s="78">
        <v>0</v>
      </c>
      <c r="L51" s="78">
        <v>208.05</v>
      </c>
      <c r="M51" s="26">
        <v>104.02500000000001</v>
      </c>
      <c r="N51" s="83">
        <f t="shared" si="2"/>
        <v>50</v>
      </c>
      <c r="O51" s="1"/>
      <c r="P51" s="20"/>
    </row>
    <row r="52" spans="1:16" x14ac:dyDescent="0.2">
      <c r="A52" s="283" t="s">
        <v>133</v>
      </c>
      <c r="B52" s="283"/>
      <c r="C52" s="283"/>
      <c r="D52" s="283"/>
      <c r="E52" s="283"/>
      <c r="F52" s="283"/>
      <c r="G52" s="283"/>
      <c r="H52" s="283"/>
      <c r="I52" s="283"/>
      <c r="J52" s="283"/>
      <c r="K52" s="98">
        <f>K34+K11</f>
        <v>12556.637999999999</v>
      </c>
      <c r="L52" s="98">
        <f>L34+L11</f>
        <v>13422.869719999999</v>
      </c>
      <c r="M52" s="98">
        <f>M34+M11</f>
        <v>9189.2332900000001</v>
      </c>
      <c r="N52" s="111">
        <f t="shared" si="1"/>
        <v>68.459528265465437</v>
      </c>
      <c r="P52" s="20">
        <f t="shared" si="0"/>
        <v>9189233.290000001</v>
      </c>
    </row>
    <row r="55" spans="1:16" x14ac:dyDescent="0.2">
      <c r="K55" s="20">
        <f>K52*1000</f>
        <v>12556637.999999998</v>
      </c>
      <c r="L55" s="20">
        <f>L52*1000</f>
        <v>13422869.719999999</v>
      </c>
      <c r="M55" s="20">
        <f>M52*1000</f>
        <v>9189233.290000001</v>
      </c>
    </row>
    <row r="56" spans="1:16" x14ac:dyDescent="0.2">
      <c r="L56" s="20">
        <f>L55-15563828</f>
        <v>-2140958.2800000012</v>
      </c>
      <c r="M56" s="20">
        <f>M55-15520032.62</f>
        <v>-6330799.3299999982</v>
      </c>
    </row>
  </sheetData>
  <mergeCells count="12">
    <mergeCell ref="A52:J52"/>
    <mergeCell ref="I1:N1"/>
    <mergeCell ref="E2:N2"/>
    <mergeCell ref="H3:N3"/>
    <mergeCell ref="A5:N5"/>
    <mergeCell ref="A8:A9"/>
    <mergeCell ref="B8:I8"/>
    <mergeCell ref="J8:J9"/>
    <mergeCell ref="K8:K9"/>
    <mergeCell ref="L8:L9"/>
    <mergeCell ref="M8:M9"/>
    <mergeCell ref="N8:N9"/>
  </mergeCells>
  <pageMargins left="0.31496062992125984" right="0.15748031496062992" top="0.31496062992125984" bottom="0.27559055118110237" header="0.15748031496062992" footer="0.27559055118110237"/>
  <pageSetup paperSize="9" scale="7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170"/>
  <sheetViews>
    <sheetView view="pageBreakPreview" topLeftCell="B1" zoomScale="80" zoomScaleNormal="98" zoomScaleSheetLayoutView="80" workbookViewId="0">
      <selection activeCell="D3" sqref="D3:K3"/>
    </sheetView>
  </sheetViews>
  <sheetFormatPr defaultRowHeight="12.75" x14ac:dyDescent="0.2"/>
  <cols>
    <col min="1" max="1" width="5.28515625" style="5" customWidth="1"/>
    <col min="2" max="2" width="67.7109375" style="1" customWidth="1"/>
    <col min="3" max="3" width="12.7109375" style="1" customWidth="1"/>
    <col min="4" max="5" width="9.28515625" style="1" customWidth="1"/>
    <col min="6" max="6" width="13.28515625" style="1" customWidth="1"/>
    <col min="7" max="8" width="14.28515625" style="1" customWidth="1"/>
    <col min="9" max="9" width="12.28515625" style="1" customWidth="1"/>
    <col min="10" max="10" width="11" style="1" customWidth="1"/>
    <col min="11" max="11" width="4.5703125" style="1" customWidth="1"/>
    <col min="12" max="13" width="12.28515625" style="1" customWidth="1"/>
    <col min="14" max="14" width="13.85546875" style="1" customWidth="1"/>
    <col min="15" max="16384" width="9.140625" style="1"/>
  </cols>
  <sheetData>
    <row r="1" spans="1:14" ht="17.25" customHeight="1" x14ac:dyDescent="0.25">
      <c r="A1" s="14"/>
      <c r="B1" s="8"/>
      <c r="C1" s="8"/>
      <c r="D1" s="8"/>
      <c r="E1" s="289" t="s">
        <v>399</v>
      </c>
      <c r="F1" s="289"/>
      <c r="G1" s="290"/>
      <c r="H1" s="290"/>
      <c r="I1" s="290"/>
      <c r="J1" s="290"/>
    </row>
    <row r="2" spans="1:14" ht="18" customHeight="1" x14ac:dyDescent="0.25">
      <c r="A2" s="271" t="s">
        <v>433</v>
      </c>
      <c r="B2" s="271"/>
      <c r="C2" s="271"/>
      <c r="D2" s="271"/>
      <c r="E2" s="271"/>
      <c r="F2" s="271"/>
      <c r="G2" s="271"/>
      <c r="H2" s="271"/>
      <c r="I2" s="271"/>
      <c r="J2" s="271"/>
    </row>
    <row r="3" spans="1:14" ht="15.75" customHeight="1" x14ac:dyDescent="0.25">
      <c r="A3" s="15"/>
      <c r="B3" s="136"/>
      <c r="C3" s="136"/>
      <c r="D3" s="290" t="s">
        <v>501</v>
      </c>
      <c r="E3" s="290"/>
      <c r="F3" s="290"/>
      <c r="G3" s="290"/>
      <c r="H3" s="290"/>
      <c r="I3" s="290"/>
      <c r="J3" s="290"/>
      <c r="K3" s="290"/>
    </row>
    <row r="4" spans="1:14" x14ac:dyDescent="0.2">
      <c r="B4" s="4"/>
      <c r="C4" s="4"/>
      <c r="D4" s="4"/>
      <c r="E4" s="4"/>
      <c r="F4" s="4"/>
      <c r="G4" s="4"/>
    </row>
    <row r="5" spans="1:14" ht="69.75" customHeight="1" x14ac:dyDescent="0.2">
      <c r="A5" s="291" t="s">
        <v>498</v>
      </c>
      <c r="B5" s="291"/>
      <c r="C5" s="291"/>
      <c r="D5" s="291"/>
      <c r="E5" s="291"/>
      <c r="F5" s="291"/>
      <c r="G5" s="291"/>
      <c r="H5" s="291"/>
      <c r="I5" s="291"/>
      <c r="J5" s="291"/>
    </row>
    <row r="6" spans="1:14" ht="18.75" x14ac:dyDescent="0.3">
      <c r="B6" s="209"/>
      <c r="C6" s="209"/>
      <c r="D6" s="209"/>
      <c r="E6" s="209"/>
      <c r="F6" s="209"/>
      <c r="G6" s="209"/>
      <c r="H6" s="212"/>
      <c r="I6" s="212"/>
      <c r="J6" s="212"/>
    </row>
    <row r="7" spans="1:14" ht="13.5" thickBot="1" x14ac:dyDescent="0.25"/>
    <row r="8" spans="1:14" ht="66.75" customHeight="1" thickBot="1" x14ac:dyDescent="0.25">
      <c r="A8" s="210" t="s">
        <v>53</v>
      </c>
      <c r="B8" s="211" t="s">
        <v>13</v>
      </c>
      <c r="C8" s="211" t="s">
        <v>15</v>
      </c>
      <c r="D8" s="211" t="s">
        <v>16</v>
      </c>
      <c r="E8" s="211" t="s">
        <v>14</v>
      </c>
      <c r="F8" s="145" t="s">
        <v>442</v>
      </c>
      <c r="G8" s="112" t="s">
        <v>494</v>
      </c>
      <c r="H8" s="146" t="s">
        <v>495</v>
      </c>
      <c r="I8" s="146" t="s">
        <v>298</v>
      </c>
      <c r="J8" s="113" t="s">
        <v>274</v>
      </c>
      <c r="K8" s="6"/>
      <c r="L8" s="4"/>
    </row>
    <row r="9" spans="1:14" x14ac:dyDescent="0.2">
      <c r="A9" s="115">
        <v>1</v>
      </c>
      <c r="B9" s="116">
        <v>2</v>
      </c>
      <c r="C9" s="116">
        <v>3</v>
      </c>
      <c r="D9" s="116">
        <v>4</v>
      </c>
      <c r="E9" s="116">
        <v>5</v>
      </c>
      <c r="F9" s="116">
        <v>6</v>
      </c>
      <c r="G9" s="116">
        <v>7</v>
      </c>
      <c r="H9" s="116">
        <v>8</v>
      </c>
      <c r="I9" s="116"/>
      <c r="J9" s="117">
        <v>9</v>
      </c>
      <c r="K9" s="6"/>
      <c r="L9" s="4"/>
    </row>
    <row r="10" spans="1:14" ht="28.5" customHeight="1" x14ac:dyDescent="0.2">
      <c r="A10" s="147">
        <v>1</v>
      </c>
      <c r="B10" s="148" t="s">
        <v>299</v>
      </c>
      <c r="C10" s="149" t="s">
        <v>178</v>
      </c>
      <c r="D10" s="149" t="s">
        <v>154</v>
      </c>
      <c r="E10" s="149" t="s">
        <v>154</v>
      </c>
      <c r="F10" s="150">
        <f>F11+F18</f>
        <v>1850.0840000000001</v>
      </c>
      <c r="G10" s="150">
        <f>G11+G18</f>
        <v>3272.9801200000002</v>
      </c>
      <c r="H10" s="150">
        <f>H11+H18</f>
        <v>1953.92668</v>
      </c>
      <c r="I10" s="114">
        <f>G10-H10</f>
        <v>1319.0534400000001</v>
      </c>
      <c r="J10" s="118">
        <f>H10/G10*100</f>
        <v>59.698702966762895</v>
      </c>
      <c r="K10" s="6"/>
      <c r="L10" s="74">
        <f t="shared" ref="L10:N11" si="0">F10*1000</f>
        <v>1850084</v>
      </c>
      <c r="M10" s="74">
        <f t="shared" si="0"/>
        <v>3272980.12</v>
      </c>
      <c r="N10" s="74">
        <f t="shared" si="0"/>
        <v>1953926.68</v>
      </c>
    </row>
    <row r="11" spans="1:14" ht="15.75" customHeight="1" x14ac:dyDescent="0.2">
      <c r="A11" s="147">
        <v>2</v>
      </c>
      <c r="B11" s="151" t="s">
        <v>155</v>
      </c>
      <c r="C11" s="152" t="s">
        <v>182</v>
      </c>
      <c r="D11" s="152" t="s">
        <v>154</v>
      </c>
      <c r="E11" s="152" t="s">
        <v>154</v>
      </c>
      <c r="F11" s="153">
        <f t="shared" ref="F11:H14" si="1">F12</f>
        <v>1070.0840000000001</v>
      </c>
      <c r="G11" s="153">
        <f t="shared" si="1"/>
        <v>1257.2331199999999</v>
      </c>
      <c r="H11" s="153">
        <f t="shared" si="1"/>
        <v>468.95374000000004</v>
      </c>
      <c r="I11" s="73">
        <f t="shared" ref="I11:I69" si="2">G11-H11</f>
        <v>788.27937999999983</v>
      </c>
      <c r="J11" s="120">
        <f>H11/G11*100</f>
        <v>37.300460236045971</v>
      </c>
      <c r="K11" s="6"/>
      <c r="L11" s="74">
        <f t="shared" si="0"/>
        <v>1070084</v>
      </c>
      <c r="M11" s="79">
        <f t="shared" si="0"/>
        <v>1257233.1199999999</v>
      </c>
      <c r="N11" s="74">
        <f t="shared" si="0"/>
        <v>468953.74000000005</v>
      </c>
    </row>
    <row r="12" spans="1:14" ht="80.25" customHeight="1" x14ac:dyDescent="0.2">
      <c r="A12" s="147">
        <v>3</v>
      </c>
      <c r="B12" s="151" t="s">
        <v>205</v>
      </c>
      <c r="C12" s="154" t="s">
        <v>177</v>
      </c>
      <c r="D12" s="152" t="s">
        <v>154</v>
      </c>
      <c r="E12" s="152" t="s">
        <v>154</v>
      </c>
      <c r="F12" s="153">
        <f t="shared" si="1"/>
        <v>1070.0840000000001</v>
      </c>
      <c r="G12" s="153">
        <f t="shared" si="1"/>
        <v>1257.2331199999999</v>
      </c>
      <c r="H12" s="153">
        <f t="shared" si="1"/>
        <v>468.95374000000004</v>
      </c>
      <c r="I12" s="73">
        <f t="shared" si="2"/>
        <v>788.27937999999983</v>
      </c>
      <c r="J12" s="120">
        <f t="shared" ref="J12:J74" si="3">H12/G12*100</f>
        <v>37.300460236045971</v>
      </c>
      <c r="K12" s="6"/>
      <c r="L12" s="74">
        <f t="shared" ref="L12:L69" si="4">F12*1000</f>
        <v>1070084</v>
      </c>
      <c r="M12" s="79">
        <f t="shared" ref="M12:M69" si="5">G12*1000</f>
        <v>1257233.1199999999</v>
      </c>
      <c r="N12" s="74">
        <f t="shared" ref="N12:N69" si="6">H12*1000</f>
        <v>468953.74000000005</v>
      </c>
    </row>
    <row r="13" spans="1:14" x14ac:dyDescent="0.2">
      <c r="A13" s="147">
        <v>4</v>
      </c>
      <c r="B13" s="155" t="s">
        <v>71</v>
      </c>
      <c r="C13" s="154" t="s">
        <v>177</v>
      </c>
      <c r="D13" s="57" t="s">
        <v>72</v>
      </c>
      <c r="E13" s="57"/>
      <c r="F13" s="67">
        <f>F14</f>
        <v>1070.0840000000001</v>
      </c>
      <c r="G13" s="67">
        <f t="shared" si="1"/>
        <v>1257.2331199999999</v>
      </c>
      <c r="H13" s="67">
        <f t="shared" si="1"/>
        <v>468.95374000000004</v>
      </c>
      <c r="I13" s="73">
        <f t="shared" si="2"/>
        <v>788.27937999999983</v>
      </c>
      <c r="J13" s="120">
        <f t="shared" si="3"/>
        <v>37.300460236045971</v>
      </c>
      <c r="K13" s="6"/>
      <c r="L13" s="74">
        <f t="shared" si="4"/>
        <v>1070084</v>
      </c>
      <c r="M13" s="79">
        <f t="shared" si="5"/>
        <v>1257233.1199999999</v>
      </c>
      <c r="N13" s="74">
        <f t="shared" si="6"/>
        <v>468953.74000000005</v>
      </c>
    </row>
    <row r="14" spans="1:14" ht="25.5" x14ac:dyDescent="0.2">
      <c r="A14" s="147">
        <v>5</v>
      </c>
      <c r="B14" s="155" t="s">
        <v>156</v>
      </c>
      <c r="C14" s="154" t="s">
        <v>177</v>
      </c>
      <c r="D14" s="57" t="s">
        <v>73</v>
      </c>
      <c r="E14" s="57"/>
      <c r="F14" s="67">
        <f>F15</f>
        <v>1070.0840000000001</v>
      </c>
      <c r="G14" s="67">
        <f>G15</f>
        <v>1257.2331199999999</v>
      </c>
      <c r="H14" s="67">
        <f t="shared" si="1"/>
        <v>468.95374000000004</v>
      </c>
      <c r="I14" s="73">
        <f t="shared" si="2"/>
        <v>788.27937999999983</v>
      </c>
      <c r="J14" s="120">
        <f t="shared" si="3"/>
        <v>37.300460236045971</v>
      </c>
      <c r="K14" s="6"/>
      <c r="L14" s="74">
        <f t="shared" si="4"/>
        <v>1070084</v>
      </c>
      <c r="M14" s="79">
        <f t="shared" si="5"/>
        <v>1257233.1199999999</v>
      </c>
      <c r="N14" s="74">
        <f t="shared" si="6"/>
        <v>468953.74000000005</v>
      </c>
    </row>
    <row r="15" spans="1:14" x14ac:dyDescent="0.2">
      <c r="A15" s="147">
        <v>6</v>
      </c>
      <c r="B15" s="58" t="s">
        <v>148</v>
      </c>
      <c r="C15" s="154" t="s">
        <v>177</v>
      </c>
      <c r="D15" s="57" t="s">
        <v>73</v>
      </c>
      <c r="E15" s="57" t="s">
        <v>149</v>
      </c>
      <c r="F15" s="67">
        <f>F16+F17</f>
        <v>1070.0840000000001</v>
      </c>
      <c r="G15" s="67">
        <f>G16+G17</f>
        <v>1257.2331199999999</v>
      </c>
      <c r="H15" s="67">
        <f>H16+H17</f>
        <v>468.95374000000004</v>
      </c>
      <c r="I15" s="73">
        <f t="shared" si="2"/>
        <v>788.27937999999983</v>
      </c>
      <c r="J15" s="120">
        <f t="shared" si="3"/>
        <v>37.300460236045971</v>
      </c>
      <c r="K15" s="6"/>
      <c r="L15" s="74">
        <f t="shared" si="4"/>
        <v>1070084</v>
      </c>
      <c r="M15" s="79">
        <f t="shared" si="5"/>
        <v>1257233.1199999999</v>
      </c>
      <c r="N15" s="74">
        <f t="shared" si="6"/>
        <v>468953.74000000005</v>
      </c>
    </row>
    <row r="16" spans="1:14" x14ac:dyDescent="0.2">
      <c r="A16" s="147">
        <v>7</v>
      </c>
      <c r="B16" s="59" t="s">
        <v>150</v>
      </c>
      <c r="C16" s="154" t="s">
        <v>177</v>
      </c>
      <c r="D16" s="57" t="s">
        <v>73</v>
      </c>
      <c r="E16" s="57" t="s">
        <v>58</v>
      </c>
      <c r="F16" s="153">
        <v>726.1</v>
      </c>
      <c r="G16" s="153">
        <v>913.24911999999995</v>
      </c>
      <c r="H16" s="67">
        <v>176.85373999999999</v>
      </c>
      <c r="I16" s="73">
        <f t="shared" si="2"/>
        <v>736.39537999999993</v>
      </c>
      <c r="J16" s="120">
        <f t="shared" si="3"/>
        <v>19.365333743765337</v>
      </c>
      <c r="K16" s="6"/>
      <c r="L16" s="74">
        <f t="shared" si="4"/>
        <v>726100</v>
      </c>
      <c r="M16" s="79">
        <f t="shared" si="5"/>
        <v>913249.12</v>
      </c>
      <c r="N16" s="74">
        <f t="shared" si="6"/>
        <v>176853.74</v>
      </c>
    </row>
    <row r="17" spans="1:14" x14ac:dyDescent="0.2">
      <c r="A17" s="147">
        <v>8</v>
      </c>
      <c r="B17" s="59" t="s">
        <v>150</v>
      </c>
      <c r="C17" s="154" t="s">
        <v>425</v>
      </c>
      <c r="D17" s="57" t="s">
        <v>73</v>
      </c>
      <c r="E17" s="57" t="s">
        <v>58</v>
      </c>
      <c r="F17" s="153">
        <v>343.98399999999998</v>
      </c>
      <c r="G17" s="153">
        <v>343.98399999999998</v>
      </c>
      <c r="H17" s="153">
        <v>292.10000000000002</v>
      </c>
      <c r="I17" s="73">
        <f t="shared" si="2"/>
        <v>51.883999999999958</v>
      </c>
      <c r="J17" s="120">
        <f t="shared" si="3"/>
        <v>84.91674031350297</v>
      </c>
      <c r="K17" s="6"/>
      <c r="L17" s="74">
        <f t="shared" si="4"/>
        <v>343984</v>
      </c>
      <c r="M17" s="79">
        <f t="shared" si="5"/>
        <v>343984</v>
      </c>
      <c r="N17" s="74">
        <f t="shared" si="6"/>
        <v>292100</v>
      </c>
    </row>
    <row r="18" spans="1:14" ht="69.75" customHeight="1" x14ac:dyDescent="0.2">
      <c r="A18" s="147">
        <v>10</v>
      </c>
      <c r="B18" s="151" t="s">
        <v>300</v>
      </c>
      <c r="C18" s="152" t="s">
        <v>183</v>
      </c>
      <c r="D18" s="152" t="s">
        <v>154</v>
      </c>
      <c r="E18" s="152" t="s">
        <v>154</v>
      </c>
      <c r="F18" s="153">
        <f>F19+F24</f>
        <v>780</v>
      </c>
      <c r="G18" s="153">
        <f>G19+G24</f>
        <v>2015.7470000000001</v>
      </c>
      <c r="H18" s="153">
        <f>H19+H24</f>
        <v>1484.9729400000001</v>
      </c>
      <c r="I18" s="73">
        <f t="shared" si="2"/>
        <v>530.77405999999996</v>
      </c>
      <c r="J18" s="120">
        <f t="shared" si="3"/>
        <v>73.668617142925186</v>
      </c>
      <c r="K18" s="6"/>
      <c r="L18" s="74">
        <f t="shared" si="4"/>
        <v>780000</v>
      </c>
      <c r="M18" s="79">
        <f t="shared" si="5"/>
        <v>2015747</v>
      </c>
      <c r="N18" s="74">
        <f t="shared" si="6"/>
        <v>1484972.9400000002</v>
      </c>
    </row>
    <row r="19" spans="1:14" ht="102" x14ac:dyDescent="0.2">
      <c r="A19" s="147">
        <v>11</v>
      </c>
      <c r="B19" s="151" t="s">
        <v>301</v>
      </c>
      <c r="C19" s="154" t="s">
        <v>180</v>
      </c>
      <c r="D19" s="152" t="s">
        <v>154</v>
      </c>
      <c r="E19" s="152" t="s">
        <v>154</v>
      </c>
      <c r="F19" s="153">
        <f t="shared" ref="F19:H20" si="7">F20</f>
        <v>780</v>
      </c>
      <c r="G19" s="153">
        <f t="shared" si="7"/>
        <v>780</v>
      </c>
      <c r="H19" s="153">
        <f t="shared" si="7"/>
        <v>391.15787</v>
      </c>
      <c r="I19" s="73">
        <f t="shared" si="2"/>
        <v>388.84213</v>
      </c>
      <c r="J19" s="120">
        <f t="shared" si="3"/>
        <v>50.148444871794872</v>
      </c>
      <c r="K19" s="6"/>
      <c r="L19" s="74">
        <f t="shared" si="4"/>
        <v>780000</v>
      </c>
      <c r="M19" s="79">
        <f t="shared" si="5"/>
        <v>780000</v>
      </c>
      <c r="N19" s="74">
        <f t="shared" si="6"/>
        <v>391157.87</v>
      </c>
    </row>
    <row r="20" spans="1:14" x14ac:dyDescent="0.2">
      <c r="A20" s="147">
        <v>12</v>
      </c>
      <c r="B20" s="155" t="s">
        <v>71</v>
      </c>
      <c r="C20" s="154" t="s">
        <v>180</v>
      </c>
      <c r="D20" s="57" t="s">
        <v>72</v>
      </c>
      <c r="E20" s="57"/>
      <c r="F20" s="67">
        <f t="shared" si="7"/>
        <v>780</v>
      </c>
      <c r="G20" s="153">
        <f t="shared" si="7"/>
        <v>780</v>
      </c>
      <c r="H20" s="153">
        <f t="shared" si="7"/>
        <v>391.15787</v>
      </c>
      <c r="I20" s="73">
        <f t="shared" si="2"/>
        <v>388.84213</v>
      </c>
      <c r="J20" s="120">
        <f t="shared" si="3"/>
        <v>50.148444871794872</v>
      </c>
      <c r="K20" s="6"/>
      <c r="L20" s="74">
        <f t="shared" si="4"/>
        <v>780000</v>
      </c>
      <c r="M20" s="79">
        <f t="shared" si="5"/>
        <v>780000</v>
      </c>
      <c r="N20" s="74">
        <f t="shared" si="6"/>
        <v>391157.87</v>
      </c>
    </row>
    <row r="21" spans="1:14" ht="25.5" x14ac:dyDescent="0.2">
      <c r="A21" s="147">
        <v>13</v>
      </c>
      <c r="B21" s="155" t="s">
        <v>156</v>
      </c>
      <c r="C21" s="154" t="s">
        <v>180</v>
      </c>
      <c r="D21" s="57" t="s">
        <v>73</v>
      </c>
      <c r="E21" s="57"/>
      <c r="F21" s="67">
        <f>F22</f>
        <v>780</v>
      </c>
      <c r="G21" s="153">
        <f>SUM(G22)</f>
        <v>780</v>
      </c>
      <c r="H21" s="153">
        <f>SUM(H22)</f>
        <v>391.15787</v>
      </c>
      <c r="I21" s="73">
        <f t="shared" si="2"/>
        <v>388.84213</v>
      </c>
      <c r="J21" s="120">
        <f t="shared" si="3"/>
        <v>50.148444871794872</v>
      </c>
      <c r="K21" s="6"/>
      <c r="L21" s="74">
        <f t="shared" si="4"/>
        <v>780000</v>
      </c>
      <c r="M21" s="79">
        <f t="shared" si="5"/>
        <v>780000</v>
      </c>
      <c r="N21" s="74">
        <f t="shared" si="6"/>
        <v>391157.87</v>
      </c>
    </row>
    <row r="22" spans="1:14" x14ac:dyDescent="0.2">
      <c r="A22" s="147">
        <v>14</v>
      </c>
      <c r="B22" s="58" t="s">
        <v>151</v>
      </c>
      <c r="C22" s="154" t="s">
        <v>180</v>
      </c>
      <c r="D22" s="57" t="s">
        <v>73</v>
      </c>
      <c r="E22" s="57" t="s">
        <v>30</v>
      </c>
      <c r="F22" s="67">
        <f>F23</f>
        <v>780</v>
      </c>
      <c r="G22" s="67">
        <f>G23</f>
        <v>780</v>
      </c>
      <c r="H22" s="67">
        <f>H23</f>
        <v>391.15787</v>
      </c>
      <c r="I22" s="73">
        <f t="shared" si="2"/>
        <v>388.84213</v>
      </c>
      <c r="J22" s="120">
        <f t="shared" si="3"/>
        <v>50.148444871794872</v>
      </c>
      <c r="K22" s="6"/>
      <c r="L22" s="74">
        <f t="shared" si="4"/>
        <v>780000</v>
      </c>
      <c r="M22" s="79">
        <f t="shared" si="5"/>
        <v>780000</v>
      </c>
      <c r="N22" s="74">
        <f t="shared" si="6"/>
        <v>391157.87</v>
      </c>
    </row>
    <row r="23" spans="1:14" x14ac:dyDescent="0.2">
      <c r="A23" s="147">
        <v>15</v>
      </c>
      <c r="B23" s="151" t="s">
        <v>152</v>
      </c>
      <c r="C23" s="154" t="s">
        <v>180</v>
      </c>
      <c r="D23" s="57" t="s">
        <v>377</v>
      </c>
      <c r="E23" s="57" t="s">
        <v>31</v>
      </c>
      <c r="F23" s="67">
        <v>780</v>
      </c>
      <c r="G23" s="153">
        <v>780</v>
      </c>
      <c r="H23" s="153">
        <v>391.15787</v>
      </c>
      <c r="I23" s="73">
        <f t="shared" si="2"/>
        <v>388.84213</v>
      </c>
      <c r="J23" s="120">
        <f t="shared" si="3"/>
        <v>50.148444871794872</v>
      </c>
      <c r="K23" s="6"/>
      <c r="L23" s="74">
        <f t="shared" si="4"/>
        <v>780000</v>
      </c>
      <c r="M23" s="79">
        <f t="shared" si="5"/>
        <v>780000</v>
      </c>
      <c r="N23" s="74">
        <f t="shared" si="6"/>
        <v>391157.87</v>
      </c>
    </row>
    <row r="24" spans="1:14" ht="95.25" customHeight="1" x14ac:dyDescent="0.2">
      <c r="A24" s="147">
        <v>16</v>
      </c>
      <c r="B24" s="151" t="s">
        <v>302</v>
      </c>
      <c r="C24" s="154" t="s">
        <v>181</v>
      </c>
      <c r="D24" s="152" t="s">
        <v>154</v>
      </c>
      <c r="E24" s="152" t="s">
        <v>154</v>
      </c>
      <c r="F24" s="153">
        <f>F25</f>
        <v>0</v>
      </c>
      <c r="G24" s="153">
        <f t="shared" ref="G24:H27" si="8">G25</f>
        <v>1235.7470000000001</v>
      </c>
      <c r="H24" s="153">
        <f t="shared" si="8"/>
        <v>1093.8150700000001</v>
      </c>
      <c r="I24" s="73">
        <f t="shared" si="2"/>
        <v>141.93192999999997</v>
      </c>
      <c r="J24" s="120">
        <f t="shared" si="3"/>
        <v>88.514483142585007</v>
      </c>
      <c r="K24" s="6"/>
      <c r="L24" s="74">
        <f t="shared" si="4"/>
        <v>0</v>
      </c>
      <c r="M24" s="79">
        <f t="shared" si="5"/>
        <v>1235747</v>
      </c>
      <c r="N24" s="74">
        <f t="shared" si="6"/>
        <v>1093815.07</v>
      </c>
    </row>
    <row r="25" spans="1:14" x14ac:dyDescent="0.2">
      <c r="A25" s="147">
        <v>17</v>
      </c>
      <c r="B25" s="155" t="s">
        <v>71</v>
      </c>
      <c r="C25" s="154" t="s">
        <v>181</v>
      </c>
      <c r="D25" s="57" t="s">
        <v>72</v>
      </c>
      <c r="E25" s="57"/>
      <c r="F25" s="67">
        <f>F26</f>
        <v>0</v>
      </c>
      <c r="G25" s="67">
        <f t="shared" si="8"/>
        <v>1235.7470000000001</v>
      </c>
      <c r="H25" s="67">
        <f t="shared" si="8"/>
        <v>1093.8150700000001</v>
      </c>
      <c r="I25" s="73">
        <f t="shared" si="2"/>
        <v>141.93192999999997</v>
      </c>
      <c r="J25" s="120">
        <f t="shared" si="3"/>
        <v>88.514483142585007</v>
      </c>
      <c r="K25" s="6"/>
      <c r="L25" s="74">
        <f t="shared" si="4"/>
        <v>0</v>
      </c>
      <c r="M25" s="79">
        <f t="shared" si="5"/>
        <v>1235747</v>
      </c>
      <c r="N25" s="74">
        <f t="shared" si="6"/>
        <v>1093815.07</v>
      </c>
    </row>
    <row r="26" spans="1:14" ht="25.5" x14ac:dyDescent="0.2">
      <c r="A26" s="147">
        <v>18</v>
      </c>
      <c r="B26" s="155" t="s">
        <v>156</v>
      </c>
      <c r="C26" s="154" t="s">
        <v>181</v>
      </c>
      <c r="D26" s="57" t="s">
        <v>73</v>
      </c>
      <c r="E26" s="57"/>
      <c r="F26" s="67">
        <f>F27</f>
        <v>0</v>
      </c>
      <c r="G26" s="67">
        <f t="shared" si="8"/>
        <v>1235.7470000000001</v>
      </c>
      <c r="H26" s="67">
        <f t="shared" si="8"/>
        <v>1093.8150700000001</v>
      </c>
      <c r="I26" s="73">
        <f t="shared" si="2"/>
        <v>141.93192999999997</v>
      </c>
      <c r="J26" s="120">
        <f t="shared" si="3"/>
        <v>88.514483142585007</v>
      </c>
      <c r="K26" s="6"/>
      <c r="L26" s="74">
        <f t="shared" si="4"/>
        <v>0</v>
      </c>
      <c r="M26" s="79">
        <f t="shared" si="5"/>
        <v>1235747</v>
      </c>
      <c r="N26" s="74">
        <f t="shared" si="6"/>
        <v>1093815.07</v>
      </c>
    </row>
    <row r="27" spans="1:14" ht="12" customHeight="1" x14ac:dyDescent="0.2">
      <c r="A27" s="147">
        <v>19</v>
      </c>
      <c r="B27" s="58" t="s">
        <v>151</v>
      </c>
      <c r="C27" s="154" t="s">
        <v>181</v>
      </c>
      <c r="D27" s="57" t="s">
        <v>73</v>
      </c>
      <c r="E27" s="57" t="s">
        <v>30</v>
      </c>
      <c r="F27" s="67">
        <f>F28</f>
        <v>0</v>
      </c>
      <c r="G27" s="67">
        <f t="shared" si="8"/>
        <v>1235.7470000000001</v>
      </c>
      <c r="H27" s="67">
        <f t="shared" si="8"/>
        <v>1093.8150700000001</v>
      </c>
      <c r="I27" s="73">
        <f t="shared" si="2"/>
        <v>141.93192999999997</v>
      </c>
      <c r="J27" s="120">
        <f t="shared" si="3"/>
        <v>88.514483142585007</v>
      </c>
      <c r="K27" s="6"/>
      <c r="L27" s="74">
        <f t="shared" si="4"/>
        <v>0</v>
      </c>
      <c r="M27" s="79">
        <f t="shared" si="5"/>
        <v>1235747</v>
      </c>
      <c r="N27" s="74">
        <f t="shared" si="6"/>
        <v>1093815.07</v>
      </c>
    </row>
    <row r="28" spans="1:14" x14ac:dyDescent="0.2">
      <c r="A28" s="147">
        <v>20</v>
      </c>
      <c r="B28" s="151" t="s">
        <v>152</v>
      </c>
      <c r="C28" s="154" t="s">
        <v>181</v>
      </c>
      <c r="D28" s="57" t="s">
        <v>73</v>
      </c>
      <c r="E28" s="57" t="s">
        <v>31</v>
      </c>
      <c r="F28" s="67">
        <v>0</v>
      </c>
      <c r="G28" s="72">
        <f>([1]Бюджет!$G$77+[1]Бюджет!$G$78+[1]Бюджет!$G$79)/1000</f>
        <v>1235.7470000000001</v>
      </c>
      <c r="H28" s="72">
        <f>7.37647+840+246.4386</f>
        <v>1093.8150700000001</v>
      </c>
      <c r="I28" s="73">
        <f t="shared" si="2"/>
        <v>141.93192999999997</v>
      </c>
      <c r="J28" s="120">
        <f t="shared" si="3"/>
        <v>88.514483142585007</v>
      </c>
      <c r="K28" s="6"/>
      <c r="L28" s="74">
        <f t="shared" si="4"/>
        <v>0</v>
      </c>
      <c r="M28" s="79">
        <f t="shared" si="5"/>
        <v>1235747</v>
      </c>
      <c r="N28" s="74">
        <f t="shared" si="6"/>
        <v>1093815.07</v>
      </c>
    </row>
    <row r="29" spans="1:14" ht="29.25" customHeight="1" x14ac:dyDescent="0.2">
      <c r="A29" s="147">
        <v>21</v>
      </c>
      <c r="B29" s="148" t="s">
        <v>405</v>
      </c>
      <c r="C29" s="149" t="s">
        <v>173</v>
      </c>
      <c r="D29" s="149" t="s">
        <v>154</v>
      </c>
      <c r="E29" s="149" t="s">
        <v>154</v>
      </c>
      <c r="F29" s="153">
        <f>F30</f>
        <v>471.053</v>
      </c>
      <c r="G29" s="73">
        <f>G30</f>
        <v>471.053</v>
      </c>
      <c r="H29" s="73">
        <f>H30</f>
        <v>434.74290000000002</v>
      </c>
      <c r="I29" s="73">
        <f t="shared" si="2"/>
        <v>36.310099999999977</v>
      </c>
      <c r="J29" s="120">
        <f t="shared" si="3"/>
        <v>92.291716643350114</v>
      </c>
      <c r="K29" s="6"/>
      <c r="L29" s="74">
        <f t="shared" si="4"/>
        <v>471053</v>
      </c>
      <c r="M29" s="79">
        <f t="shared" si="5"/>
        <v>471053</v>
      </c>
      <c r="N29" s="74">
        <f t="shared" si="6"/>
        <v>434742.9</v>
      </c>
    </row>
    <row r="30" spans="1:14" x14ac:dyDescent="0.2">
      <c r="A30" s="147">
        <v>22</v>
      </c>
      <c r="B30" s="151" t="s">
        <v>206</v>
      </c>
      <c r="C30" s="152" t="s">
        <v>195</v>
      </c>
      <c r="D30" s="152" t="s">
        <v>154</v>
      </c>
      <c r="E30" s="152" t="s">
        <v>154</v>
      </c>
      <c r="F30" s="153">
        <f>F31</f>
        <v>471.053</v>
      </c>
      <c r="G30" s="153">
        <f>SUM(G31:G31)</f>
        <v>471.053</v>
      </c>
      <c r="H30" s="153">
        <f>SUM(H31:H31)</f>
        <v>434.74290000000002</v>
      </c>
      <c r="I30" s="73">
        <f t="shared" si="2"/>
        <v>36.310099999999977</v>
      </c>
      <c r="J30" s="120">
        <f t="shared" si="3"/>
        <v>92.291716643350114</v>
      </c>
      <c r="K30" s="6"/>
      <c r="L30" s="74">
        <f t="shared" si="4"/>
        <v>471053</v>
      </c>
      <c r="M30" s="79">
        <f t="shared" si="5"/>
        <v>471053</v>
      </c>
      <c r="N30" s="74">
        <f t="shared" si="6"/>
        <v>434742.9</v>
      </c>
    </row>
    <row r="31" spans="1:14" ht="15.75" customHeight="1" x14ac:dyDescent="0.2">
      <c r="A31" s="147">
        <v>23</v>
      </c>
      <c r="B31" s="151" t="s">
        <v>303</v>
      </c>
      <c r="C31" s="154" t="s">
        <v>304</v>
      </c>
      <c r="D31" s="152" t="s">
        <v>154</v>
      </c>
      <c r="E31" s="152" t="s">
        <v>154</v>
      </c>
      <c r="F31" s="153">
        <f>F32</f>
        <v>471.053</v>
      </c>
      <c r="G31" s="153">
        <f t="shared" ref="G31:H34" si="9">G32</f>
        <v>471.053</v>
      </c>
      <c r="H31" s="153">
        <f t="shared" si="9"/>
        <v>434.74290000000002</v>
      </c>
      <c r="I31" s="73">
        <f t="shared" si="2"/>
        <v>36.310099999999977</v>
      </c>
      <c r="J31" s="120">
        <f t="shared" si="3"/>
        <v>92.291716643350114</v>
      </c>
      <c r="K31" s="6"/>
      <c r="L31" s="74">
        <f t="shared" si="4"/>
        <v>471053</v>
      </c>
      <c r="M31" s="79">
        <f t="shared" si="5"/>
        <v>471053</v>
      </c>
      <c r="N31" s="74">
        <f t="shared" si="6"/>
        <v>434742.9</v>
      </c>
    </row>
    <row r="32" spans="1:14" ht="12.75" customHeight="1" x14ac:dyDescent="0.2">
      <c r="A32" s="147">
        <v>24</v>
      </c>
      <c r="B32" s="155" t="s">
        <v>71</v>
      </c>
      <c r="C32" s="154" t="s">
        <v>304</v>
      </c>
      <c r="D32" s="57" t="s">
        <v>72</v>
      </c>
      <c r="E32" s="57"/>
      <c r="F32" s="67">
        <f>F33</f>
        <v>471.053</v>
      </c>
      <c r="G32" s="67">
        <f t="shared" si="9"/>
        <v>471.053</v>
      </c>
      <c r="H32" s="67">
        <f t="shared" si="9"/>
        <v>434.74290000000002</v>
      </c>
      <c r="I32" s="73">
        <f t="shared" si="2"/>
        <v>36.310099999999977</v>
      </c>
      <c r="J32" s="120">
        <f t="shared" si="3"/>
        <v>92.291716643350114</v>
      </c>
      <c r="K32" s="6"/>
      <c r="L32" s="74">
        <f t="shared" si="4"/>
        <v>471053</v>
      </c>
      <c r="M32" s="79">
        <f t="shared" si="5"/>
        <v>471053</v>
      </c>
      <c r="N32" s="74">
        <f t="shared" si="6"/>
        <v>434742.9</v>
      </c>
    </row>
    <row r="33" spans="1:14" ht="25.5" customHeight="1" x14ac:dyDescent="0.2">
      <c r="A33" s="147">
        <v>25</v>
      </c>
      <c r="B33" s="155" t="s">
        <v>156</v>
      </c>
      <c r="C33" s="154" t="s">
        <v>233</v>
      </c>
      <c r="D33" s="57" t="s">
        <v>73</v>
      </c>
      <c r="E33" s="57"/>
      <c r="F33" s="67">
        <f>F34</f>
        <v>471.053</v>
      </c>
      <c r="G33" s="67">
        <f t="shared" si="9"/>
        <v>471.053</v>
      </c>
      <c r="H33" s="67">
        <f t="shared" si="9"/>
        <v>434.74290000000002</v>
      </c>
      <c r="I33" s="73">
        <f t="shared" si="2"/>
        <v>36.310099999999977</v>
      </c>
      <c r="J33" s="120">
        <f t="shared" si="3"/>
        <v>92.291716643350114</v>
      </c>
      <c r="K33" s="6"/>
      <c r="L33" s="74">
        <f t="shared" si="4"/>
        <v>471053</v>
      </c>
      <c r="M33" s="79">
        <f t="shared" si="5"/>
        <v>471053</v>
      </c>
      <c r="N33" s="74">
        <f t="shared" si="6"/>
        <v>434742.9</v>
      </c>
    </row>
    <row r="34" spans="1:14" ht="14.25" customHeight="1" x14ac:dyDescent="0.2">
      <c r="A34" s="147">
        <v>26</v>
      </c>
      <c r="B34" s="60" t="s">
        <v>185</v>
      </c>
      <c r="C34" s="154" t="s">
        <v>233</v>
      </c>
      <c r="D34" s="57" t="s">
        <v>73</v>
      </c>
      <c r="E34" s="57" t="s">
        <v>194</v>
      </c>
      <c r="F34" s="67">
        <f>F35</f>
        <v>471.053</v>
      </c>
      <c r="G34" s="67">
        <f t="shared" si="9"/>
        <v>471.053</v>
      </c>
      <c r="H34" s="67">
        <f t="shared" si="9"/>
        <v>434.74290000000002</v>
      </c>
      <c r="I34" s="73">
        <f t="shared" si="2"/>
        <v>36.310099999999977</v>
      </c>
      <c r="J34" s="120">
        <f t="shared" si="3"/>
        <v>92.291716643350114</v>
      </c>
      <c r="K34" s="6"/>
      <c r="L34" s="74">
        <f t="shared" si="4"/>
        <v>471053</v>
      </c>
      <c r="M34" s="79">
        <f t="shared" si="5"/>
        <v>471053</v>
      </c>
      <c r="N34" s="74">
        <f t="shared" si="6"/>
        <v>434742.9</v>
      </c>
    </row>
    <row r="35" spans="1:14" ht="12" customHeight="1" x14ac:dyDescent="0.2">
      <c r="A35" s="147">
        <v>27</v>
      </c>
      <c r="B35" s="59" t="s">
        <v>283</v>
      </c>
      <c r="C35" s="154" t="s">
        <v>233</v>
      </c>
      <c r="D35" s="57" t="s">
        <v>73</v>
      </c>
      <c r="E35" s="57" t="s">
        <v>186</v>
      </c>
      <c r="F35" s="153">
        <v>471.053</v>
      </c>
      <c r="G35" s="153">
        <v>471.053</v>
      </c>
      <c r="H35" s="153">
        <f>434.7429</f>
        <v>434.74290000000002</v>
      </c>
      <c r="I35" s="73">
        <f t="shared" si="2"/>
        <v>36.310099999999977</v>
      </c>
      <c r="J35" s="120">
        <f t="shared" si="3"/>
        <v>92.291716643350114</v>
      </c>
      <c r="K35" s="6"/>
      <c r="L35" s="74">
        <f t="shared" si="4"/>
        <v>471053</v>
      </c>
      <c r="M35" s="79">
        <f t="shared" si="5"/>
        <v>471053</v>
      </c>
      <c r="N35" s="74">
        <f t="shared" si="6"/>
        <v>434742.9</v>
      </c>
    </row>
    <row r="36" spans="1:14" ht="54.75" customHeight="1" x14ac:dyDescent="0.2">
      <c r="A36" s="147">
        <v>28</v>
      </c>
      <c r="B36" s="214" t="s">
        <v>406</v>
      </c>
      <c r="C36" s="225" t="s">
        <v>394</v>
      </c>
      <c r="D36" s="103"/>
      <c r="E36" s="103"/>
      <c r="F36" s="157">
        <f>F38</f>
        <v>1</v>
      </c>
      <c r="G36" s="157">
        <f>G38</f>
        <v>1</v>
      </c>
      <c r="H36" s="157">
        <f>H38</f>
        <v>0</v>
      </c>
      <c r="I36" s="73">
        <f t="shared" si="2"/>
        <v>1</v>
      </c>
      <c r="J36" s="120">
        <f t="shared" si="3"/>
        <v>0</v>
      </c>
      <c r="K36" s="6"/>
      <c r="L36" s="74">
        <f t="shared" si="4"/>
        <v>1000</v>
      </c>
      <c r="M36" s="79">
        <f t="shared" si="5"/>
        <v>1000</v>
      </c>
      <c r="N36" s="74">
        <f t="shared" si="6"/>
        <v>0</v>
      </c>
    </row>
    <row r="37" spans="1:14" ht="37.5" customHeight="1" x14ac:dyDescent="0.2">
      <c r="A37" s="147">
        <v>29</v>
      </c>
      <c r="B37" s="214" t="s">
        <v>393</v>
      </c>
      <c r="C37" s="35" t="s">
        <v>395</v>
      </c>
      <c r="D37" s="103"/>
      <c r="E37" s="103"/>
      <c r="F37" s="157">
        <f t="shared" ref="F37:H38" si="10">F38</f>
        <v>1</v>
      </c>
      <c r="G37" s="157">
        <f t="shared" si="10"/>
        <v>1</v>
      </c>
      <c r="H37" s="157">
        <f t="shared" si="10"/>
        <v>0</v>
      </c>
      <c r="I37" s="73">
        <f t="shared" si="2"/>
        <v>1</v>
      </c>
      <c r="J37" s="120">
        <f t="shared" si="3"/>
        <v>0</v>
      </c>
      <c r="K37" s="6"/>
      <c r="L37" s="74">
        <f t="shared" si="4"/>
        <v>1000</v>
      </c>
      <c r="M37" s="79">
        <f t="shared" si="5"/>
        <v>1000</v>
      </c>
      <c r="N37" s="74">
        <f t="shared" si="6"/>
        <v>0</v>
      </c>
    </row>
    <row r="38" spans="1:14" ht="16.5" customHeight="1" x14ac:dyDescent="0.2">
      <c r="A38" s="147">
        <v>30</v>
      </c>
      <c r="B38" s="101" t="s">
        <v>71</v>
      </c>
      <c r="C38" s="35" t="s">
        <v>389</v>
      </c>
      <c r="D38" s="103" t="s">
        <v>72</v>
      </c>
      <c r="E38" s="103" t="s">
        <v>194</v>
      </c>
      <c r="F38" s="157">
        <f t="shared" si="10"/>
        <v>1</v>
      </c>
      <c r="G38" s="157">
        <f t="shared" si="10"/>
        <v>1</v>
      </c>
      <c r="H38" s="157">
        <f t="shared" si="10"/>
        <v>0</v>
      </c>
      <c r="I38" s="73">
        <f t="shared" si="2"/>
        <v>1</v>
      </c>
      <c r="J38" s="120">
        <f t="shared" si="3"/>
        <v>0</v>
      </c>
      <c r="K38" s="6"/>
      <c r="L38" s="74">
        <f t="shared" si="4"/>
        <v>1000</v>
      </c>
      <c r="M38" s="79">
        <f t="shared" si="5"/>
        <v>1000</v>
      </c>
      <c r="N38" s="74">
        <f t="shared" si="6"/>
        <v>0</v>
      </c>
    </row>
    <row r="39" spans="1:14" ht="12" customHeight="1" x14ac:dyDescent="0.2">
      <c r="A39" s="147">
        <v>31</v>
      </c>
      <c r="B39" s="101" t="s">
        <v>156</v>
      </c>
      <c r="C39" s="35" t="s">
        <v>389</v>
      </c>
      <c r="D39" s="103" t="s">
        <v>73</v>
      </c>
      <c r="E39" s="103" t="s">
        <v>231</v>
      </c>
      <c r="F39" s="157">
        <v>1</v>
      </c>
      <c r="G39" s="157">
        <v>1</v>
      </c>
      <c r="H39" s="157">
        <v>0</v>
      </c>
      <c r="I39" s="73">
        <f t="shared" si="2"/>
        <v>1</v>
      </c>
      <c r="J39" s="120">
        <f t="shared" si="3"/>
        <v>0</v>
      </c>
      <c r="K39" s="6"/>
      <c r="L39" s="74">
        <f t="shared" si="4"/>
        <v>1000</v>
      </c>
      <c r="M39" s="79">
        <f t="shared" si="5"/>
        <v>1000</v>
      </c>
      <c r="N39" s="74">
        <f t="shared" si="6"/>
        <v>0</v>
      </c>
    </row>
    <row r="40" spans="1:14" ht="12.75" customHeight="1" x14ac:dyDescent="0.2">
      <c r="A40" s="147">
        <v>32</v>
      </c>
      <c r="B40" s="61" t="s">
        <v>139</v>
      </c>
      <c r="C40" s="152">
        <v>6100000000</v>
      </c>
      <c r="D40" s="99"/>
      <c r="E40" s="99"/>
      <c r="F40" s="100">
        <f>F41</f>
        <v>1021.0346500000001</v>
      </c>
      <c r="G40" s="100">
        <f>G41</f>
        <v>1078.1825900000001</v>
      </c>
      <c r="H40" s="100">
        <f t="shared" ref="G40:H56" si="11">H41</f>
        <v>710.19312000000002</v>
      </c>
      <c r="I40" s="73">
        <f t="shared" si="2"/>
        <v>367.9894700000001</v>
      </c>
      <c r="J40" s="120">
        <f t="shared" si="3"/>
        <v>65.869466506596069</v>
      </c>
      <c r="K40" s="6"/>
      <c r="L40" s="74">
        <f t="shared" si="4"/>
        <v>1021034.65</v>
      </c>
      <c r="M40" s="79">
        <f t="shared" si="5"/>
        <v>1078182.5900000001</v>
      </c>
      <c r="N40" s="74">
        <f t="shared" si="6"/>
        <v>710193.12</v>
      </c>
    </row>
    <row r="41" spans="1:14" ht="25.5" customHeight="1" x14ac:dyDescent="0.2">
      <c r="A41" s="147">
        <v>33</v>
      </c>
      <c r="B41" s="60" t="s">
        <v>140</v>
      </c>
      <c r="C41" s="152" t="s">
        <v>267</v>
      </c>
      <c r="D41" s="62"/>
      <c r="E41" s="62"/>
      <c r="F41" s="100">
        <f>F42</f>
        <v>1021.0346500000001</v>
      </c>
      <c r="G41" s="100">
        <f>G42</f>
        <v>1078.1825900000001</v>
      </c>
      <c r="H41" s="100">
        <f t="shared" si="11"/>
        <v>710.19312000000002</v>
      </c>
      <c r="I41" s="73">
        <f t="shared" si="2"/>
        <v>367.9894700000001</v>
      </c>
      <c r="J41" s="120">
        <f t="shared" si="3"/>
        <v>65.869466506596069</v>
      </c>
      <c r="K41" s="6"/>
      <c r="L41" s="74">
        <f t="shared" si="4"/>
        <v>1021034.65</v>
      </c>
      <c r="M41" s="79">
        <f t="shared" si="5"/>
        <v>1078182.5900000001</v>
      </c>
      <c r="N41" s="74">
        <f t="shared" si="6"/>
        <v>710193.12</v>
      </c>
    </row>
    <row r="42" spans="1:14" ht="40.5" customHeight="1" x14ac:dyDescent="0.2">
      <c r="A42" s="147">
        <v>34</v>
      </c>
      <c r="B42" s="60" t="s">
        <v>69</v>
      </c>
      <c r="C42" s="152" t="s">
        <v>167</v>
      </c>
      <c r="D42" s="62" t="s">
        <v>70</v>
      </c>
      <c r="E42" s="62"/>
      <c r="F42" s="100">
        <f>F43+F46</f>
        <v>1021.0346500000001</v>
      </c>
      <c r="G42" s="100">
        <f>G43+G46</f>
        <v>1078.1825900000001</v>
      </c>
      <c r="H42" s="100">
        <f>H43+H46</f>
        <v>710.19312000000002</v>
      </c>
      <c r="I42" s="73">
        <f t="shared" si="2"/>
        <v>367.9894700000001</v>
      </c>
      <c r="J42" s="120">
        <f t="shared" si="3"/>
        <v>65.869466506596069</v>
      </c>
      <c r="K42" s="6"/>
      <c r="L42" s="74">
        <f t="shared" si="4"/>
        <v>1021034.65</v>
      </c>
      <c r="M42" s="79">
        <f t="shared" si="5"/>
        <v>1078182.5900000001</v>
      </c>
      <c r="N42" s="74">
        <f t="shared" si="6"/>
        <v>710193.12</v>
      </c>
    </row>
    <row r="43" spans="1:14" ht="15.75" customHeight="1" x14ac:dyDescent="0.2">
      <c r="A43" s="147">
        <v>35</v>
      </c>
      <c r="B43" s="60" t="s">
        <v>157</v>
      </c>
      <c r="C43" s="152" t="s">
        <v>167</v>
      </c>
      <c r="D43" s="62" t="s">
        <v>74</v>
      </c>
      <c r="E43" s="62"/>
      <c r="F43" s="100">
        <f t="shared" ref="F43:F48" si="12">F44</f>
        <v>1021.0346500000001</v>
      </c>
      <c r="G43" s="153">
        <f t="shared" si="11"/>
        <v>1046.0346500000001</v>
      </c>
      <c r="H43" s="153">
        <f t="shared" si="11"/>
        <v>704.03562999999997</v>
      </c>
      <c r="I43" s="73">
        <f t="shared" si="2"/>
        <v>341.99902000000009</v>
      </c>
      <c r="J43" s="120">
        <f t="shared" si="3"/>
        <v>67.305192041200542</v>
      </c>
      <c r="K43" s="6"/>
      <c r="L43" s="74">
        <f t="shared" si="4"/>
        <v>1021034.65</v>
      </c>
      <c r="M43" s="79">
        <f t="shared" si="5"/>
        <v>1046034.65</v>
      </c>
      <c r="N43" s="74">
        <f t="shared" si="6"/>
        <v>704035.63</v>
      </c>
    </row>
    <row r="44" spans="1:14" ht="15" customHeight="1" x14ac:dyDescent="0.2">
      <c r="A44" s="147">
        <v>36</v>
      </c>
      <c r="B44" s="101" t="s">
        <v>281</v>
      </c>
      <c r="C44" s="152" t="s">
        <v>167</v>
      </c>
      <c r="D44" s="62" t="s">
        <v>74</v>
      </c>
      <c r="E44" s="62" t="s">
        <v>24</v>
      </c>
      <c r="F44" s="100">
        <f t="shared" si="12"/>
        <v>1021.0346500000001</v>
      </c>
      <c r="G44" s="153">
        <f t="shared" si="11"/>
        <v>1046.0346500000001</v>
      </c>
      <c r="H44" s="153">
        <f t="shared" si="11"/>
        <v>704.03562999999997</v>
      </c>
      <c r="I44" s="73">
        <f t="shared" si="2"/>
        <v>341.99902000000009</v>
      </c>
      <c r="J44" s="120">
        <f t="shared" si="3"/>
        <v>67.305192041200542</v>
      </c>
      <c r="K44" s="6"/>
      <c r="L44" s="74">
        <f t="shared" si="4"/>
        <v>1021034.65</v>
      </c>
      <c r="M44" s="79">
        <f t="shared" si="5"/>
        <v>1046034.65</v>
      </c>
      <c r="N44" s="74">
        <f t="shared" si="6"/>
        <v>704035.63</v>
      </c>
    </row>
    <row r="45" spans="1:14" ht="25.5" customHeight="1" x14ac:dyDescent="0.2">
      <c r="A45" s="147">
        <v>37</v>
      </c>
      <c r="B45" s="60" t="s">
        <v>18</v>
      </c>
      <c r="C45" s="152" t="s">
        <v>167</v>
      </c>
      <c r="D45" s="62" t="s">
        <v>74</v>
      </c>
      <c r="E45" s="62" t="s">
        <v>25</v>
      </c>
      <c r="F45" s="100">
        <v>1021.0346500000001</v>
      </c>
      <c r="G45" s="100">
        <v>1046.0346500000001</v>
      </c>
      <c r="H45" s="153">
        <f>548.07583+155.9598</f>
        <v>704.03562999999997</v>
      </c>
      <c r="I45" s="73">
        <f t="shared" si="2"/>
        <v>341.99902000000009</v>
      </c>
      <c r="J45" s="120">
        <f t="shared" si="3"/>
        <v>67.305192041200542</v>
      </c>
      <c r="K45" s="6"/>
      <c r="L45" s="74">
        <f t="shared" si="4"/>
        <v>1021034.65</v>
      </c>
      <c r="M45" s="79">
        <f t="shared" si="5"/>
        <v>1046034.65</v>
      </c>
      <c r="N45" s="74">
        <f t="shared" si="6"/>
        <v>704035.63</v>
      </c>
    </row>
    <row r="46" spans="1:14" ht="25.5" customHeight="1" x14ac:dyDescent="0.2">
      <c r="A46" s="147"/>
      <c r="B46" s="60" t="s">
        <v>485</v>
      </c>
      <c r="C46" s="152" t="s">
        <v>479</v>
      </c>
      <c r="D46" s="62" t="s">
        <v>70</v>
      </c>
      <c r="E46" s="62"/>
      <c r="F46" s="100">
        <f t="shared" si="12"/>
        <v>0</v>
      </c>
      <c r="G46" s="153">
        <f>G47</f>
        <v>32.147939999999998</v>
      </c>
      <c r="H46" s="153">
        <f t="shared" si="11"/>
        <v>6.1574900000000001</v>
      </c>
      <c r="I46" s="73">
        <f>G46-H46</f>
        <v>25.990449999999999</v>
      </c>
      <c r="J46" s="120">
        <f>H46/G46*100</f>
        <v>19.153606731877691</v>
      </c>
      <c r="K46" s="6"/>
      <c r="L46" s="74"/>
      <c r="M46" s="79"/>
      <c r="N46" s="74"/>
    </row>
    <row r="47" spans="1:14" x14ac:dyDescent="0.2">
      <c r="A47" s="147"/>
      <c r="B47" s="60" t="s">
        <v>157</v>
      </c>
      <c r="C47" s="152" t="s">
        <v>479</v>
      </c>
      <c r="D47" s="62" t="s">
        <v>74</v>
      </c>
      <c r="E47" s="62"/>
      <c r="F47" s="100">
        <f t="shared" si="12"/>
        <v>0</v>
      </c>
      <c r="G47" s="153">
        <f t="shared" si="11"/>
        <v>32.147939999999998</v>
      </c>
      <c r="H47" s="153">
        <f t="shared" si="11"/>
        <v>6.1574900000000001</v>
      </c>
      <c r="I47" s="73">
        <f>G47-H47</f>
        <v>25.990449999999999</v>
      </c>
      <c r="J47" s="120">
        <f>H47/G47*100</f>
        <v>19.153606731877691</v>
      </c>
      <c r="K47" s="6"/>
      <c r="L47" s="74"/>
      <c r="M47" s="79"/>
      <c r="N47" s="74"/>
    </row>
    <row r="48" spans="1:14" x14ac:dyDescent="0.2">
      <c r="A48" s="147"/>
      <c r="B48" s="101" t="s">
        <v>281</v>
      </c>
      <c r="C48" s="152" t="s">
        <v>479</v>
      </c>
      <c r="D48" s="62" t="s">
        <v>74</v>
      </c>
      <c r="E48" s="62" t="s">
        <v>24</v>
      </c>
      <c r="F48" s="100">
        <f t="shared" si="12"/>
        <v>0</v>
      </c>
      <c r="G48" s="153">
        <f t="shared" si="11"/>
        <v>32.147939999999998</v>
      </c>
      <c r="H48" s="153">
        <f t="shared" si="11"/>
        <v>6.1574900000000001</v>
      </c>
      <c r="I48" s="73">
        <f>G48-H48</f>
        <v>25.990449999999999</v>
      </c>
      <c r="J48" s="120">
        <f>H48/G48*100</f>
        <v>19.153606731877691</v>
      </c>
      <c r="K48" s="6"/>
      <c r="L48" s="74"/>
      <c r="M48" s="79"/>
      <c r="N48" s="74"/>
    </row>
    <row r="49" spans="1:14" ht="25.5" customHeight="1" x14ac:dyDescent="0.2">
      <c r="A49" s="147"/>
      <c r="B49" s="60" t="s">
        <v>18</v>
      </c>
      <c r="C49" s="152" t="s">
        <v>479</v>
      </c>
      <c r="D49" s="62" t="s">
        <v>74</v>
      </c>
      <c r="E49" s="62" t="s">
        <v>25</v>
      </c>
      <c r="F49" s="100">
        <v>0</v>
      </c>
      <c r="G49" s="100">
        <f>24.6912+7.45674</f>
        <v>32.147939999999998</v>
      </c>
      <c r="H49" s="153">
        <f>4.7302+1.42729</f>
        <v>6.1574900000000001</v>
      </c>
      <c r="I49" s="73">
        <f>G49-H49</f>
        <v>25.990449999999999</v>
      </c>
      <c r="J49" s="120">
        <f>H49/G49*100</f>
        <v>19.153606731877691</v>
      </c>
      <c r="K49" s="6"/>
      <c r="L49" s="74"/>
      <c r="M49" s="79"/>
      <c r="N49" s="74"/>
    </row>
    <row r="50" spans="1:14" x14ac:dyDescent="0.2">
      <c r="A50" s="147">
        <v>42</v>
      </c>
      <c r="B50" s="61" t="s">
        <v>139</v>
      </c>
      <c r="C50" s="152">
        <v>6200000000</v>
      </c>
      <c r="D50" s="62"/>
      <c r="E50" s="62"/>
      <c r="F50" s="100">
        <f>F51</f>
        <v>935.93008999999995</v>
      </c>
      <c r="G50" s="100">
        <f>G51</f>
        <v>962.72836999999993</v>
      </c>
      <c r="H50" s="100">
        <f>H51</f>
        <v>664.11479999999995</v>
      </c>
      <c r="I50" s="73">
        <f t="shared" si="2"/>
        <v>298.61356999999998</v>
      </c>
      <c r="J50" s="120">
        <f t="shared" si="3"/>
        <v>68.982572934876742</v>
      </c>
      <c r="K50" s="6"/>
      <c r="L50" s="74">
        <f t="shared" si="4"/>
        <v>935930.09</v>
      </c>
      <c r="M50" s="79">
        <f t="shared" si="5"/>
        <v>962728.36999999988</v>
      </c>
      <c r="N50" s="74">
        <f t="shared" si="6"/>
        <v>664114.79999999993</v>
      </c>
    </row>
    <row r="51" spans="1:14" x14ac:dyDescent="0.2">
      <c r="A51" s="147">
        <v>43</v>
      </c>
      <c r="B51" s="60" t="s">
        <v>141</v>
      </c>
      <c r="C51" s="152" t="s">
        <v>268</v>
      </c>
      <c r="D51" s="62"/>
      <c r="E51" s="62"/>
      <c r="F51" s="100">
        <f>F52+F56</f>
        <v>935.93008999999995</v>
      </c>
      <c r="G51" s="100">
        <f>G52+G56</f>
        <v>962.72836999999993</v>
      </c>
      <c r="H51" s="100">
        <f>H52+H56</f>
        <v>664.11479999999995</v>
      </c>
      <c r="I51" s="73">
        <f t="shared" si="2"/>
        <v>298.61356999999998</v>
      </c>
      <c r="J51" s="120">
        <f t="shared" si="3"/>
        <v>68.982572934876742</v>
      </c>
      <c r="K51" s="6"/>
      <c r="L51" s="74">
        <f t="shared" si="4"/>
        <v>935930.09</v>
      </c>
      <c r="M51" s="79">
        <f t="shared" si="5"/>
        <v>962728.36999999988</v>
      </c>
      <c r="N51" s="74">
        <f t="shared" si="6"/>
        <v>664114.79999999993</v>
      </c>
    </row>
    <row r="52" spans="1:14" ht="38.25" x14ac:dyDescent="0.2">
      <c r="A52" s="147">
        <v>44</v>
      </c>
      <c r="B52" s="60" t="s">
        <v>69</v>
      </c>
      <c r="C52" s="152" t="s">
        <v>168</v>
      </c>
      <c r="D52" s="62" t="s">
        <v>70</v>
      </c>
      <c r="E52" s="62"/>
      <c r="F52" s="100">
        <f>F53</f>
        <v>935.93008999999995</v>
      </c>
      <c r="G52" s="153">
        <f t="shared" si="11"/>
        <v>935.93008999999995</v>
      </c>
      <c r="H52" s="153">
        <f t="shared" si="11"/>
        <v>659.64841999999999</v>
      </c>
      <c r="I52" s="73">
        <f t="shared" si="2"/>
        <v>276.28166999999996</v>
      </c>
      <c r="J52" s="120">
        <f t="shared" si="3"/>
        <v>70.480522749300647</v>
      </c>
      <c r="K52" s="6"/>
      <c r="L52" s="74">
        <f t="shared" si="4"/>
        <v>935930.09</v>
      </c>
      <c r="M52" s="79">
        <f t="shared" si="5"/>
        <v>935930.09</v>
      </c>
      <c r="N52" s="74">
        <f t="shared" si="6"/>
        <v>659648.42000000004</v>
      </c>
    </row>
    <row r="53" spans="1:14" x14ac:dyDescent="0.2">
      <c r="A53" s="147">
        <v>45</v>
      </c>
      <c r="B53" s="60" t="s">
        <v>157</v>
      </c>
      <c r="C53" s="152" t="s">
        <v>168</v>
      </c>
      <c r="D53" s="62" t="s">
        <v>74</v>
      </c>
      <c r="E53" s="62"/>
      <c r="F53" s="100">
        <f>F54</f>
        <v>935.93008999999995</v>
      </c>
      <c r="G53" s="100">
        <f t="shared" si="11"/>
        <v>935.93008999999995</v>
      </c>
      <c r="H53" s="100">
        <f t="shared" si="11"/>
        <v>659.64841999999999</v>
      </c>
      <c r="I53" s="73">
        <f t="shared" si="2"/>
        <v>276.28166999999996</v>
      </c>
      <c r="J53" s="120">
        <f t="shared" si="3"/>
        <v>70.480522749300647</v>
      </c>
      <c r="K53" s="6"/>
      <c r="L53" s="74">
        <f t="shared" si="4"/>
        <v>935930.09</v>
      </c>
      <c r="M53" s="79">
        <f t="shared" si="5"/>
        <v>935930.09</v>
      </c>
      <c r="N53" s="74">
        <f t="shared" si="6"/>
        <v>659648.42000000004</v>
      </c>
    </row>
    <row r="54" spans="1:14" x14ac:dyDescent="0.2">
      <c r="A54" s="147">
        <v>46</v>
      </c>
      <c r="B54" s="101" t="s">
        <v>281</v>
      </c>
      <c r="C54" s="152" t="s">
        <v>168</v>
      </c>
      <c r="D54" s="62" t="s">
        <v>74</v>
      </c>
      <c r="E54" s="62" t="s">
        <v>24</v>
      </c>
      <c r="F54" s="100">
        <f>F55</f>
        <v>935.93008999999995</v>
      </c>
      <c r="G54" s="100">
        <f t="shared" si="11"/>
        <v>935.93008999999995</v>
      </c>
      <c r="H54" s="100">
        <f t="shared" si="11"/>
        <v>659.64841999999999</v>
      </c>
      <c r="I54" s="73">
        <f t="shared" si="2"/>
        <v>276.28166999999996</v>
      </c>
      <c r="J54" s="120">
        <f t="shared" si="3"/>
        <v>70.480522749300647</v>
      </c>
      <c r="L54" s="74">
        <f t="shared" si="4"/>
        <v>935930.09</v>
      </c>
      <c r="M54" s="79">
        <f t="shared" si="5"/>
        <v>935930.09</v>
      </c>
      <c r="N54" s="74">
        <f t="shared" si="6"/>
        <v>659648.42000000004</v>
      </c>
    </row>
    <row r="55" spans="1:14" ht="24" customHeight="1" x14ac:dyDescent="0.2">
      <c r="A55" s="147">
        <v>47</v>
      </c>
      <c r="B55" s="60" t="s">
        <v>18</v>
      </c>
      <c r="C55" s="152" t="s">
        <v>168</v>
      </c>
      <c r="D55" s="62" t="s">
        <v>74</v>
      </c>
      <c r="E55" s="62" t="s">
        <v>26</v>
      </c>
      <c r="F55" s="100">
        <v>935.93008999999995</v>
      </c>
      <c r="G55" s="100">
        <v>935.93008999999995</v>
      </c>
      <c r="H55" s="153">
        <f>513.33692+146.3115</f>
        <v>659.64841999999999</v>
      </c>
      <c r="I55" s="73">
        <f t="shared" si="2"/>
        <v>276.28166999999996</v>
      </c>
      <c r="J55" s="120">
        <f t="shared" si="3"/>
        <v>70.480522749300647</v>
      </c>
      <c r="L55" s="74">
        <f t="shared" si="4"/>
        <v>935930.09</v>
      </c>
      <c r="M55" s="79">
        <f t="shared" si="5"/>
        <v>935930.09</v>
      </c>
      <c r="N55" s="74">
        <f t="shared" si="6"/>
        <v>659648.42000000004</v>
      </c>
    </row>
    <row r="56" spans="1:14" ht="25.5" x14ac:dyDescent="0.2">
      <c r="A56" s="147"/>
      <c r="B56" s="60" t="s">
        <v>485</v>
      </c>
      <c r="C56" s="152" t="s">
        <v>480</v>
      </c>
      <c r="D56" s="62" t="s">
        <v>70</v>
      </c>
      <c r="E56" s="62"/>
      <c r="F56" s="100">
        <f>F57</f>
        <v>0</v>
      </c>
      <c r="G56" s="153">
        <f t="shared" si="11"/>
        <v>26.798279999999998</v>
      </c>
      <c r="H56" s="153">
        <f t="shared" si="11"/>
        <v>4.46638</v>
      </c>
      <c r="I56" s="73">
        <f>G56-H56</f>
        <v>22.331899999999997</v>
      </c>
      <c r="J56" s="120">
        <f>H56/G56*100</f>
        <v>16.666666666666668</v>
      </c>
      <c r="L56" s="74"/>
      <c r="M56" s="79"/>
      <c r="N56" s="74"/>
    </row>
    <row r="57" spans="1:14" x14ac:dyDescent="0.2">
      <c r="A57" s="147"/>
      <c r="B57" s="60" t="s">
        <v>157</v>
      </c>
      <c r="C57" s="152" t="s">
        <v>480</v>
      </c>
      <c r="D57" s="62" t="s">
        <v>74</v>
      </c>
      <c r="E57" s="62"/>
      <c r="F57" s="100">
        <f>F58</f>
        <v>0</v>
      </c>
      <c r="G57" s="100">
        <f>G58</f>
        <v>26.798279999999998</v>
      </c>
      <c r="H57" s="100">
        <f>H58</f>
        <v>4.46638</v>
      </c>
      <c r="I57" s="73">
        <f>G57-H57</f>
        <v>22.331899999999997</v>
      </c>
      <c r="J57" s="120">
        <f>H57/G57*100</f>
        <v>16.666666666666668</v>
      </c>
      <c r="L57" s="74"/>
      <c r="M57" s="79"/>
      <c r="N57" s="74"/>
    </row>
    <row r="58" spans="1:14" x14ac:dyDescent="0.2">
      <c r="A58" s="147"/>
      <c r="B58" s="101" t="s">
        <v>281</v>
      </c>
      <c r="C58" s="152" t="s">
        <v>480</v>
      </c>
      <c r="D58" s="62" t="s">
        <v>74</v>
      </c>
      <c r="E58" s="62" t="s">
        <v>24</v>
      </c>
      <c r="F58" s="100">
        <f>F59</f>
        <v>0</v>
      </c>
      <c r="G58" s="100">
        <f>G59</f>
        <v>26.798279999999998</v>
      </c>
      <c r="H58" s="100">
        <f>H59</f>
        <v>4.46638</v>
      </c>
      <c r="I58" s="73">
        <f>G58-H58</f>
        <v>22.331899999999997</v>
      </c>
      <c r="J58" s="120">
        <f>H58/G58*100</f>
        <v>16.666666666666668</v>
      </c>
      <c r="L58" s="74"/>
      <c r="M58" s="79"/>
      <c r="N58" s="74"/>
    </row>
    <row r="59" spans="1:14" ht="24" customHeight="1" x14ac:dyDescent="0.2">
      <c r="A59" s="147"/>
      <c r="B59" s="60" t="s">
        <v>18</v>
      </c>
      <c r="C59" s="152" t="s">
        <v>480</v>
      </c>
      <c r="D59" s="62" t="s">
        <v>74</v>
      </c>
      <c r="E59" s="62" t="s">
        <v>26</v>
      </c>
      <c r="F59" s="100">
        <v>0</v>
      </c>
      <c r="G59" s="100">
        <f>20.5824+6.21588</f>
        <v>26.798279999999998</v>
      </c>
      <c r="H59" s="153">
        <f>3.4304+1.03598</f>
        <v>4.46638</v>
      </c>
      <c r="I59" s="73">
        <f>G59-H59</f>
        <v>22.331899999999997</v>
      </c>
      <c r="J59" s="120">
        <f>H59/G59*100</f>
        <v>16.666666666666668</v>
      </c>
      <c r="L59" s="74"/>
      <c r="M59" s="79"/>
      <c r="N59" s="74"/>
    </row>
    <row r="60" spans="1:14" x14ac:dyDescent="0.2">
      <c r="A60" s="147">
        <v>52</v>
      </c>
      <c r="B60" s="63" t="s">
        <v>144</v>
      </c>
      <c r="C60" s="152">
        <v>6300000000</v>
      </c>
      <c r="D60" s="57"/>
      <c r="E60" s="57"/>
      <c r="F60" s="67">
        <f>F61+F78+F82+F70+F66</f>
        <v>5712.3517899999997</v>
      </c>
      <c r="G60" s="67">
        <f>G61+G78+G82+G70+G66</f>
        <v>5999.4063299999998</v>
      </c>
      <c r="H60" s="67">
        <f>H61+H78+H82+H70+H66</f>
        <v>3695.3074499999998</v>
      </c>
      <c r="I60" s="67">
        <f>I61+I78+I82+I70+I66</f>
        <v>2304.0988800000005</v>
      </c>
      <c r="J60" s="120">
        <f t="shared" si="3"/>
        <v>61.59455197294497</v>
      </c>
      <c r="L60" s="74">
        <f t="shared" si="4"/>
        <v>5712351.79</v>
      </c>
      <c r="M60" s="74">
        <f t="shared" si="5"/>
        <v>5999406.3300000001</v>
      </c>
      <c r="N60" s="74">
        <f t="shared" si="6"/>
        <v>3695307.4499999997</v>
      </c>
    </row>
    <row r="61" spans="1:14" ht="42.75" customHeight="1" x14ac:dyDescent="0.2">
      <c r="A61" s="147">
        <v>53</v>
      </c>
      <c r="B61" s="64" t="s">
        <v>158</v>
      </c>
      <c r="C61" s="152">
        <v>6300080210</v>
      </c>
      <c r="D61" s="57"/>
      <c r="E61" s="57"/>
      <c r="F61" s="67">
        <f>F62+F74</f>
        <v>5610.3637899999994</v>
      </c>
      <c r="G61" s="67">
        <f>G62+G74</f>
        <v>5733.6087900000002</v>
      </c>
      <c r="H61" s="67">
        <f>H62+H74</f>
        <v>3532.2257500000001</v>
      </c>
      <c r="I61" s="67">
        <f>I62+I74</f>
        <v>2201.3830400000006</v>
      </c>
      <c r="J61" s="120">
        <f t="shared" si="3"/>
        <v>61.605628834680225</v>
      </c>
      <c r="L61" s="74">
        <f t="shared" si="4"/>
        <v>5610363.7899999991</v>
      </c>
      <c r="M61" s="74">
        <f t="shared" si="5"/>
        <v>5733608.79</v>
      </c>
      <c r="N61" s="74">
        <f t="shared" si="6"/>
        <v>3532225.75</v>
      </c>
    </row>
    <row r="62" spans="1:14" ht="38.25" x14ac:dyDescent="0.2">
      <c r="A62" s="147">
        <v>54</v>
      </c>
      <c r="B62" s="60" t="s">
        <v>69</v>
      </c>
      <c r="C62" s="152">
        <v>6300080210</v>
      </c>
      <c r="D62" s="57" t="s">
        <v>70</v>
      </c>
      <c r="E62" s="57"/>
      <c r="F62" s="67">
        <f>F63</f>
        <v>4379.6148899999998</v>
      </c>
      <c r="G62" s="67">
        <f t="shared" ref="G62:H72" si="13">G63</f>
        <v>4348.8548900000005</v>
      </c>
      <c r="H62" s="67">
        <f>H63</f>
        <v>2645.12932</v>
      </c>
      <c r="I62" s="73">
        <f t="shared" si="2"/>
        <v>1703.7255700000005</v>
      </c>
      <c r="J62" s="120">
        <f t="shared" si="3"/>
        <v>60.823581998156747</v>
      </c>
      <c r="L62" s="74">
        <f t="shared" si="4"/>
        <v>4379614.8899999997</v>
      </c>
      <c r="M62" s="79">
        <f t="shared" si="5"/>
        <v>4348854.8900000006</v>
      </c>
      <c r="N62" s="74">
        <f t="shared" si="6"/>
        <v>2645129.3199999998</v>
      </c>
    </row>
    <row r="63" spans="1:14" x14ac:dyDescent="0.2">
      <c r="A63" s="147">
        <v>55</v>
      </c>
      <c r="B63" s="60" t="s">
        <v>157</v>
      </c>
      <c r="C63" s="152">
        <v>6300080210</v>
      </c>
      <c r="D63" s="57" t="s">
        <v>74</v>
      </c>
      <c r="E63" s="57"/>
      <c r="F63" s="67">
        <f>F64</f>
        <v>4379.6148899999998</v>
      </c>
      <c r="G63" s="67">
        <f t="shared" si="13"/>
        <v>4348.8548900000005</v>
      </c>
      <c r="H63" s="67">
        <f t="shared" si="13"/>
        <v>2645.12932</v>
      </c>
      <c r="I63" s="73">
        <f t="shared" si="2"/>
        <v>1703.7255700000005</v>
      </c>
      <c r="J63" s="120">
        <f t="shared" si="3"/>
        <v>60.823581998156747</v>
      </c>
      <c r="L63" s="74">
        <f t="shared" si="4"/>
        <v>4379614.8899999997</v>
      </c>
      <c r="M63" s="79">
        <f t="shared" si="5"/>
        <v>4348854.8900000006</v>
      </c>
      <c r="N63" s="74">
        <f t="shared" si="6"/>
        <v>2645129.3199999998</v>
      </c>
    </row>
    <row r="64" spans="1:14" x14ac:dyDescent="0.2">
      <c r="A64" s="147">
        <v>56</v>
      </c>
      <c r="B64" s="101" t="s">
        <v>281</v>
      </c>
      <c r="C64" s="152">
        <v>6300080210</v>
      </c>
      <c r="D64" s="57" t="s">
        <v>74</v>
      </c>
      <c r="E64" s="57" t="s">
        <v>24</v>
      </c>
      <c r="F64" s="67">
        <f>F65</f>
        <v>4379.6148899999998</v>
      </c>
      <c r="G64" s="153">
        <f t="shared" si="13"/>
        <v>4348.8548900000005</v>
      </c>
      <c r="H64" s="153">
        <f t="shared" si="13"/>
        <v>2645.12932</v>
      </c>
      <c r="I64" s="73">
        <f t="shared" si="2"/>
        <v>1703.7255700000005</v>
      </c>
      <c r="J64" s="120">
        <f t="shared" si="3"/>
        <v>60.823581998156747</v>
      </c>
      <c r="L64" s="74">
        <f t="shared" si="4"/>
        <v>4379614.8899999997</v>
      </c>
      <c r="M64" s="79">
        <f t="shared" si="5"/>
        <v>4348854.8900000006</v>
      </c>
      <c r="N64" s="74">
        <f t="shared" si="6"/>
        <v>2645129.3199999998</v>
      </c>
    </row>
    <row r="65" spans="1:14" ht="38.25" x14ac:dyDescent="0.2">
      <c r="A65" s="147">
        <v>57</v>
      </c>
      <c r="B65" s="60" t="s">
        <v>20</v>
      </c>
      <c r="C65" s="152">
        <v>6300080210</v>
      </c>
      <c r="D65" s="57" t="s">
        <v>74</v>
      </c>
      <c r="E65" s="57" t="s">
        <v>27</v>
      </c>
      <c r="F65" s="153">
        <f>3363.75951+1015.85538</f>
        <v>4379.6148899999998</v>
      </c>
      <c r="G65" s="153">
        <f>3330.13351+10+1008.72138</f>
        <v>4348.8548900000005</v>
      </c>
      <c r="H65" s="153">
        <f>2064.87433+8.60308+571.65191</f>
        <v>2645.12932</v>
      </c>
      <c r="I65" s="73">
        <f t="shared" si="2"/>
        <v>1703.7255700000005</v>
      </c>
      <c r="J65" s="120">
        <f t="shared" si="3"/>
        <v>60.823581998156747</v>
      </c>
      <c r="L65" s="74">
        <f t="shared" si="4"/>
        <v>4379614.8899999997</v>
      </c>
      <c r="M65" s="79">
        <f t="shared" si="5"/>
        <v>4348854.8900000006</v>
      </c>
      <c r="N65" s="74">
        <f t="shared" si="6"/>
        <v>2645129.3199999998</v>
      </c>
    </row>
    <row r="66" spans="1:14" ht="38.25" x14ac:dyDescent="0.2">
      <c r="A66" s="147">
        <v>58</v>
      </c>
      <c r="B66" s="60" t="s">
        <v>273</v>
      </c>
      <c r="C66" s="152">
        <v>6300092350</v>
      </c>
      <c r="D66" s="57" t="s">
        <v>70</v>
      </c>
      <c r="E66" s="57"/>
      <c r="F66" s="67">
        <f>F67</f>
        <v>0</v>
      </c>
      <c r="G66" s="67">
        <f t="shared" si="13"/>
        <v>48.86</v>
      </c>
      <c r="H66" s="67">
        <f t="shared" si="13"/>
        <v>35.824999999999996</v>
      </c>
      <c r="I66" s="73">
        <f t="shared" si="2"/>
        <v>13.035000000000004</v>
      </c>
      <c r="J66" s="120">
        <f t="shared" si="3"/>
        <v>73.321735571019232</v>
      </c>
      <c r="L66" s="74">
        <f t="shared" si="4"/>
        <v>0</v>
      </c>
      <c r="M66" s="79">
        <f t="shared" si="5"/>
        <v>48860</v>
      </c>
      <c r="N66" s="74">
        <f t="shared" si="6"/>
        <v>35824.999999999993</v>
      </c>
    </row>
    <row r="67" spans="1:14" ht="25.5" x14ac:dyDescent="0.2">
      <c r="A67" s="147">
        <v>59</v>
      </c>
      <c r="B67" s="60" t="s">
        <v>305</v>
      </c>
      <c r="C67" s="152">
        <v>6300092350</v>
      </c>
      <c r="D67" s="57" t="s">
        <v>74</v>
      </c>
      <c r="E67" s="57"/>
      <c r="F67" s="67">
        <f>F68</f>
        <v>0</v>
      </c>
      <c r="G67" s="67">
        <f t="shared" si="13"/>
        <v>48.86</v>
      </c>
      <c r="H67" s="67">
        <f t="shared" si="13"/>
        <v>35.824999999999996</v>
      </c>
      <c r="I67" s="73">
        <f t="shared" si="2"/>
        <v>13.035000000000004</v>
      </c>
      <c r="J67" s="120">
        <f t="shared" si="3"/>
        <v>73.321735571019232</v>
      </c>
      <c r="L67" s="74">
        <f t="shared" si="4"/>
        <v>0</v>
      </c>
      <c r="M67" s="79">
        <f t="shared" si="5"/>
        <v>48860</v>
      </c>
      <c r="N67" s="74">
        <f t="shared" si="6"/>
        <v>35824.999999999993</v>
      </c>
    </row>
    <row r="68" spans="1:14" x14ac:dyDescent="0.2">
      <c r="A68" s="147">
        <v>60</v>
      </c>
      <c r="B68" s="101" t="s">
        <v>281</v>
      </c>
      <c r="C68" s="152">
        <v>6300092350</v>
      </c>
      <c r="D68" s="57" t="s">
        <v>74</v>
      </c>
      <c r="E68" s="57" t="s">
        <v>24</v>
      </c>
      <c r="F68" s="67">
        <f>F69</f>
        <v>0</v>
      </c>
      <c r="G68" s="67">
        <f t="shared" si="13"/>
        <v>48.86</v>
      </c>
      <c r="H68" s="67">
        <f t="shared" si="13"/>
        <v>35.824999999999996</v>
      </c>
      <c r="I68" s="73">
        <f t="shared" si="2"/>
        <v>13.035000000000004</v>
      </c>
      <c r="J68" s="120">
        <f t="shared" si="3"/>
        <v>73.321735571019232</v>
      </c>
      <c r="L68" s="74">
        <f t="shared" si="4"/>
        <v>0</v>
      </c>
      <c r="M68" s="79">
        <f t="shared" si="5"/>
        <v>48860</v>
      </c>
      <c r="N68" s="74">
        <f t="shared" si="6"/>
        <v>35824.999999999993</v>
      </c>
    </row>
    <row r="69" spans="1:14" ht="38.25" x14ac:dyDescent="0.2">
      <c r="A69" s="147">
        <v>61</v>
      </c>
      <c r="B69" s="60" t="s">
        <v>20</v>
      </c>
      <c r="C69" s="152">
        <v>6300092350</v>
      </c>
      <c r="D69" s="57" t="s">
        <v>74</v>
      </c>
      <c r="E69" s="57" t="s">
        <v>27</v>
      </c>
      <c r="F69" s="153">
        <v>0</v>
      </c>
      <c r="G69" s="153">
        <f>37.528+11.332</f>
        <v>48.86</v>
      </c>
      <c r="H69" s="153">
        <f>27.644+8.181</f>
        <v>35.824999999999996</v>
      </c>
      <c r="I69" s="73">
        <f t="shared" si="2"/>
        <v>13.035000000000004</v>
      </c>
      <c r="J69" s="120">
        <f t="shared" si="3"/>
        <v>73.321735571019232</v>
      </c>
      <c r="L69" s="74">
        <f t="shared" si="4"/>
        <v>0</v>
      </c>
      <c r="M69" s="79">
        <f t="shared" si="5"/>
        <v>48860</v>
      </c>
      <c r="N69" s="74">
        <f t="shared" si="6"/>
        <v>35824.999999999993</v>
      </c>
    </row>
    <row r="70" spans="1:14" ht="25.5" x14ac:dyDescent="0.2">
      <c r="A70" s="147"/>
      <c r="B70" s="60" t="s">
        <v>484</v>
      </c>
      <c r="C70" s="152">
        <v>6300093000</v>
      </c>
      <c r="D70" s="57" t="s">
        <v>70</v>
      </c>
      <c r="E70" s="57"/>
      <c r="F70" s="67">
        <f>F71</f>
        <v>0</v>
      </c>
      <c r="G70" s="67">
        <f t="shared" si="13"/>
        <v>111.84554</v>
      </c>
      <c r="H70" s="67">
        <f t="shared" si="13"/>
        <v>22.551699999999997</v>
      </c>
      <c r="I70" s="73">
        <f>G70-H70</f>
        <v>89.293840000000003</v>
      </c>
      <c r="J70" s="120">
        <f>H70/G70*100</f>
        <v>20.16325371579412</v>
      </c>
      <c r="L70" s="74"/>
      <c r="M70" s="79"/>
      <c r="N70" s="74"/>
    </row>
    <row r="71" spans="1:14" ht="25.5" x14ac:dyDescent="0.2">
      <c r="A71" s="147"/>
      <c r="B71" s="60" t="s">
        <v>484</v>
      </c>
      <c r="C71" s="152">
        <v>6300093000</v>
      </c>
      <c r="D71" s="57" t="s">
        <v>74</v>
      </c>
      <c r="E71" s="57"/>
      <c r="F71" s="67">
        <f>F72</f>
        <v>0</v>
      </c>
      <c r="G71" s="67">
        <f t="shared" si="13"/>
        <v>111.84554</v>
      </c>
      <c r="H71" s="67">
        <f t="shared" si="13"/>
        <v>22.551699999999997</v>
      </c>
      <c r="I71" s="73">
        <f>G71-H71</f>
        <v>89.293840000000003</v>
      </c>
      <c r="J71" s="120">
        <f>H71/G71*100</f>
        <v>20.16325371579412</v>
      </c>
      <c r="L71" s="74"/>
      <c r="M71" s="79"/>
      <c r="N71" s="74"/>
    </row>
    <row r="72" spans="1:14" x14ac:dyDescent="0.2">
      <c r="A72" s="147"/>
      <c r="B72" s="101" t="s">
        <v>281</v>
      </c>
      <c r="C72" s="152">
        <v>6300093000</v>
      </c>
      <c r="D72" s="57" t="s">
        <v>74</v>
      </c>
      <c r="E72" s="57" t="s">
        <v>24</v>
      </c>
      <c r="F72" s="67">
        <f>F73</f>
        <v>0</v>
      </c>
      <c r="G72" s="67">
        <f t="shared" si="13"/>
        <v>111.84554</v>
      </c>
      <c r="H72" s="67">
        <f t="shared" si="13"/>
        <v>22.551699999999997</v>
      </c>
      <c r="I72" s="73">
        <f>G72-H72</f>
        <v>89.293840000000003</v>
      </c>
      <c r="J72" s="120">
        <f>H72/G72*100</f>
        <v>20.16325371579412</v>
      </c>
      <c r="L72" s="74"/>
      <c r="M72" s="79"/>
      <c r="N72" s="74"/>
    </row>
    <row r="73" spans="1:14" ht="38.25" x14ac:dyDescent="0.2">
      <c r="A73" s="147"/>
      <c r="B73" s="60" t="s">
        <v>20</v>
      </c>
      <c r="C73" s="152">
        <v>6300093000</v>
      </c>
      <c r="D73" s="57" t="s">
        <v>74</v>
      </c>
      <c r="E73" s="57" t="s">
        <v>27</v>
      </c>
      <c r="F73" s="153">
        <v>0</v>
      </c>
      <c r="G73" s="153">
        <f>85.90324+25.9423</f>
        <v>111.84554</v>
      </c>
      <c r="H73" s="153">
        <f>17.7858+4.7659</f>
        <v>22.551699999999997</v>
      </c>
      <c r="I73" s="73">
        <f>G73-H73</f>
        <v>89.293840000000003</v>
      </c>
      <c r="J73" s="120">
        <f>H73/G73*100</f>
        <v>20.16325371579412</v>
      </c>
      <c r="L73" s="74"/>
      <c r="M73" s="79"/>
      <c r="N73" s="74"/>
    </row>
    <row r="74" spans="1:14" x14ac:dyDescent="0.2">
      <c r="A74" s="147">
        <v>70</v>
      </c>
      <c r="B74" s="155" t="s">
        <v>71</v>
      </c>
      <c r="C74" s="152">
        <v>6300080210</v>
      </c>
      <c r="D74" s="57" t="s">
        <v>72</v>
      </c>
      <c r="E74" s="57"/>
      <c r="F74" s="67">
        <f t="shared" ref="F74:H76" si="14">F75</f>
        <v>1230.7489</v>
      </c>
      <c r="G74" s="67">
        <f t="shared" si="14"/>
        <v>1384.7538999999999</v>
      </c>
      <c r="H74" s="67">
        <f t="shared" si="14"/>
        <v>887.09643000000005</v>
      </c>
      <c r="I74" s="73">
        <f t="shared" ref="I74:I130" si="15">G74-H74</f>
        <v>497.65746999999988</v>
      </c>
      <c r="J74" s="120">
        <f t="shared" si="3"/>
        <v>64.061666842028757</v>
      </c>
      <c r="L74" s="74">
        <f t="shared" ref="L74:L129" si="16">F74*1000</f>
        <v>1230748.9000000001</v>
      </c>
      <c r="M74" s="79">
        <f t="shared" ref="M74:M129" si="17">G74*1000</f>
        <v>1384753.9</v>
      </c>
      <c r="N74" s="74">
        <f t="shared" ref="N74:N129" si="18">H74*1000</f>
        <v>887096.43</v>
      </c>
    </row>
    <row r="75" spans="1:14" ht="25.5" x14ac:dyDescent="0.2">
      <c r="A75" s="147">
        <v>71</v>
      </c>
      <c r="B75" s="155" t="s">
        <v>156</v>
      </c>
      <c r="C75" s="152">
        <v>6300080210</v>
      </c>
      <c r="D75" s="57" t="s">
        <v>73</v>
      </c>
      <c r="E75" s="57"/>
      <c r="F75" s="67">
        <f t="shared" si="14"/>
        <v>1230.7489</v>
      </c>
      <c r="G75" s="67">
        <f t="shared" si="14"/>
        <v>1384.7538999999999</v>
      </c>
      <c r="H75" s="67">
        <f t="shared" si="14"/>
        <v>887.09643000000005</v>
      </c>
      <c r="I75" s="73">
        <f t="shared" si="15"/>
        <v>497.65746999999988</v>
      </c>
      <c r="J75" s="120">
        <f t="shared" ref="J75:J131" si="19">H75/G75*100</f>
        <v>64.061666842028757</v>
      </c>
      <c r="L75" s="74">
        <f t="shared" si="16"/>
        <v>1230748.9000000001</v>
      </c>
      <c r="M75" s="79">
        <f t="shared" si="17"/>
        <v>1384753.9</v>
      </c>
      <c r="N75" s="74">
        <f t="shared" si="18"/>
        <v>887096.43</v>
      </c>
    </row>
    <row r="76" spans="1:14" x14ac:dyDescent="0.2">
      <c r="A76" s="147">
        <v>72</v>
      </c>
      <c r="B76" s="101" t="s">
        <v>281</v>
      </c>
      <c r="C76" s="152">
        <v>6300080210</v>
      </c>
      <c r="D76" s="57" t="s">
        <v>73</v>
      </c>
      <c r="E76" s="57" t="s">
        <v>24</v>
      </c>
      <c r="F76" s="67">
        <f t="shared" si="14"/>
        <v>1230.7489</v>
      </c>
      <c r="G76" s="67">
        <f t="shared" si="14"/>
        <v>1384.7538999999999</v>
      </c>
      <c r="H76" s="67">
        <f t="shared" si="14"/>
        <v>887.09643000000005</v>
      </c>
      <c r="I76" s="73">
        <f t="shared" si="15"/>
        <v>497.65746999999988</v>
      </c>
      <c r="J76" s="120">
        <f t="shared" si="19"/>
        <v>64.061666842028757</v>
      </c>
      <c r="L76" s="74">
        <f t="shared" si="16"/>
        <v>1230748.9000000001</v>
      </c>
      <c r="M76" s="79">
        <f t="shared" si="17"/>
        <v>1384753.9</v>
      </c>
      <c r="N76" s="74">
        <f t="shared" si="18"/>
        <v>887096.43</v>
      </c>
    </row>
    <row r="77" spans="1:14" ht="39.75" customHeight="1" x14ac:dyDescent="0.2">
      <c r="A77" s="147">
        <v>73</v>
      </c>
      <c r="B77" s="60" t="s">
        <v>20</v>
      </c>
      <c r="C77" s="152">
        <v>6300080210</v>
      </c>
      <c r="D77" s="57" t="s">
        <v>73</v>
      </c>
      <c r="E77" s="57" t="s">
        <v>27</v>
      </c>
      <c r="F77" s="153">
        <f>52.726+22.47176+1020+7.5+16.8+11.25114+100</f>
        <v>1230.7489</v>
      </c>
      <c r="G77" s="153">
        <f>64.835+22.47176+29.3+40.93+8.14714+199.07+1020</f>
        <v>1384.7538999999999</v>
      </c>
      <c r="H77" s="153">
        <f>31.45205+15.03162+15.4883+26.978+7.54209+115.211+675.39337</f>
        <v>887.09643000000005</v>
      </c>
      <c r="I77" s="73">
        <f t="shared" si="15"/>
        <v>497.65746999999988</v>
      </c>
      <c r="J77" s="120">
        <f t="shared" si="19"/>
        <v>64.061666842028757</v>
      </c>
      <c r="L77" s="74">
        <f t="shared" si="16"/>
        <v>1230748.9000000001</v>
      </c>
      <c r="M77" s="79">
        <f t="shared" si="17"/>
        <v>1384753.9</v>
      </c>
      <c r="N77" s="74">
        <f t="shared" si="18"/>
        <v>887096.43</v>
      </c>
    </row>
    <row r="78" spans="1:14" x14ac:dyDescent="0.2">
      <c r="A78" s="147">
        <v>74</v>
      </c>
      <c r="B78" s="151" t="s">
        <v>162</v>
      </c>
      <c r="C78" s="152">
        <v>6300080620</v>
      </c>
      <c r="D78" s="57" t="s">
        <v>161</v>
      </c>
      <c r="E78" s="57"/>
      <c r="F78" s="67">
        <f>F79</f>
        <v>98.546000000000006</v>
      </c>
      <c r="G78" s="67">
        <f t="shared" ref="G78:H80" si="20">G79</f>
        <v>101.65</v>
      </c>
      <c r="H78" s="67">
        <f t="shared" si="20"/>
        <v>101.65</v>
      </c>
      <c r="I78" s="73">
        <f t="shared" si="15"/>
        <v>0</v>
      </c>
      <c r="J78" s="120">
        <f t="shared" si="19"/>
        <v>100</v>
      </c>
      <c r="L78" s="74">
        <f t="shared" si="16"/>
        <v>98546</v>
      </c>
      <c r="M78" s="79">
        <f t="shared" si="17"/>
        <v>101650</v>
      </c>
      <c r="N78" s="74">
        <f t="shared" si="18"/>
        <v>101650</v>
      </c>
    </row>
    <row r="79" spans="1:14" x14ac:dyDescent="0.2">
      <c r="A79" s="147">
        <v>75</v>
      </c>
      <c r="B79" s="151" t="s">
        <v>56</v>
      </c>
      <c r="C79" s="152">
        <v>6300080620</v>
      </c>
      <c r="D79" s="57" t="s">
        <v>80</v>
      </c>
      <c r="E79" s="57"/>
      <c r="F79" s="67">
        <f>F80</f>
        <v>98.546000000000006</v>
      </c>
      <c r="G79" s="67">
        <f t="shared" si="20"/>
        <v>101.65</v>
      </c>
      <c r="H79" s="67">
        <f t="shared" si="20"/>
        <v>101.65</v>
      </c>
      <c r="I79" s="73">
        <f t="shared" si="15"/>
        <v>0</v>
      </c>
      <c r="J79" s="120">
        <f t="shared" si="19"/>
        <v>100</v>
      </c>
      <c r="L79" s="74">
        <f t="shared" si="16"/>
        <v>98546</v>
      </c>
      <c r="M79" s="79">
        <f t="shared" si="17"/>
        <v>101650</v>
      </c>
      <c r="N79" s="74">
        <f t="shared" si="18"/>
        <v>101650</v>
      </c>
    </row>
    <row r="80" spans="1:14" x14ac:dyDescent="0.2">
      <c r="A80" s="147">
        <v>76</v>
      </c>
      <c r="B80" s="101" t="s">
        <v>281</v>
      </c>
      <c r="C80" s="152">
        <v>6300080620</v>
      </c>
      <c r="D80" s="57" t="s">
        <v>80</v>
      </c>
      <c r="E80" s="57" t="s">
        <v>24</v>
      </c>
      <c r="F80" s="67">
        <f>F81</f>
        <v>98.546000000000006</v>
      </c>
      <c r="G80" s="67">
        <f t="shared" si="20"/>
        <v>101.65</v>
      </c>
      <c r="H80" s="67">
        <f t="shared" si="20"/>
        <v>101.65</v>
      </c>
      <c r="I80" s="73">
        <f t="shared" si="15"/>
        <v>0</v>
      </c>
      <c r="J80" s="120">
        <f t="shared" si="19"/>
        <v>100</v>
      </c>
      <c r="L80" s="74">
        <f t="shared" si="16"/>
        <v>98546</v>
      </c>
      <c r="M80" s="79">
        <f t="shared" si="17"/>
        <v>101650</v>
      </c>
      <c r="N80" s="74">
        <f t="shared" si="18"/>
        <v>101650</v>
      </c>
    </row>
    <row r="81" spans="1:14" ht="38.25" x14ac:dyDescent="0.2">
      <c r="A81" s="147">
        <v>77</v>
      </c>
      <c r="B81" s="60" t="s">
        <v>20</v>
      </c>
      <c r="C81" s="152">
        <v>6300080620</v>
      </c>
      <c r="D81" s="57" t="s">
        <v>80</v>
      </c>
      <c r="E81" s="57" t="s">
        <v>27</v>
      </c>
      <c r="F81" s="153">
        <v>98.546000000000006</v>
      </c>
      <c r="G81" s="153">
        <v>101.65</v>
      </c>
      <c r="H81" s="153">
        <v>101.65</v>
      </c>
      <c r="I81" s="73">
        <f t="shared" si="15"/>
        <v>0</v>
      </c>
      <c r="J81" s="120">
        <f t="shared" si="19"/>
        <v>100</v>
      </c>
      <c r="L81" s="74">
        <f t="shared" si="16"/>
        <v>98546</v>
      </c>
      <c r="M81" s="79">
        <f t="shared" si="17"/>
        <v>101650</v>
      </c>
      <c r="N81" s="74">
        <f t="shared" si="18"/>
        <v>101650</v>
      </c>
    </row>
    <row r="82" spans="1:14" x14ac:dyDescent="0.2">
      <c r="A82" s="147">
        <v>78</v>
      </c>
      <c r="B82" s="151" t="s">
        <v>221</v>
      </c>
      <c r="C82" s="152">
        <v>6300080620</v>
      </c>
      <c r="D82" s="57" t="s">
        <v>226</v>
      </c>
      <c r="E82" s="57"/>
      <c r="F82" s="67">
        <f>F83</f>
        <v>3.4420000000000002</v>
      </c>
      <c r="G82" s="153">
        <f t="shared" ref="G82:H84" si="21">G83</f>
        <v>3.4420000000000002</v>
      </c>
      <c r="H82" s="153">
        <f t="shared" si="21"/>
        <v>3.0550000000000002</v>
      </c>
      <c r="I82" s="73">
        <f t="shared" si="15"/>
        <v>0.38700000000000001</v>
      </c>
      <c r="J82" s="120">
        <f t="shared" si="19"/>
        <v>88.756536897152813</v>
      </c>
      <c r="L82" s="74">
        <f t="shared" si="16"/>
        <v>3442</v>
      </c>
      <c r="M82" s="79">
        <f t="shared" si="17"/>
        <v>3442</v>
      </c>
      <c r="N82" s="74">
        <f t="shared" si="18"/>
        <v>3055</v>
      </c>
    </row>
    <row r="83" spans="1:14" x14ac:dyDescent="0.2">
      <c r="A83" s="147">
        <v>79</v>
      </c>
      <c r="B83" s="151" t="s">
        <v>164</v>
      </c>
      <c r="C83" s="152">
        <v>6300080620</v>
      </c>
      <c r="D83" s="57" t="s">
        <v>163</v>
      </c>
      <c r="E83" s="57"/>
      <c r="F83" s="67">
        <f>F84</f>
        <v>3.4420000000000002</v>
      </c>
      <c r="G83" s="153">
        <f t="shared" si="21"/>
        <v>3.4420000000000002</v>
      </c>
      <c r="H83" s="153">
        <f t="shared" si="21"/>
        <v>3.0550000000000002</v>
      </c>
      <c r="I83" s="73">
        <f t="shared" si="15"/>
        <v>0.38700000000000001</v>
      </c>
      <c r="J83" s="120">
        <f t="shared" si="19"/>
        <v>88.756536897152813</v>
      </c>
      <c r="L83" s="74">
        <f t="shared" si="16"/>
        <v>3442</v>
      </c>
      <c r="M83" s="79">
        <f t="shared" si="17"/>
        <v>3442</v>
      </c>
      <c r="N83" s="74">
        <f t="shared" si="18"/>
        <v>3055</v>
      </c>
    </row>
    <row r="84" spans="1:14" x14ac:dyDescent="0.2">
      <c r="A84" s="147">
        <v>80</v>
      </c>
      <c r="B84" s="101" t="s">
        <v>281</v>
      </c>
      <c r="C84" s="152">
        <v>6300080620</v>
      </c>
      <c r="D84" s="57" t="s">
        <v>163</v>
      </c>
      <c r="E84" s="57" t="s">
        <v>24</v>
      </c>
      <c r="F84" s="67">
        <f>F85</f>
        <v>3.4420000000000002</v>
      </c>
      <c r="G84" s="67">
        <f t="shared" si="21"/>
        <v>3.4420000000000002</v>
      </c>
      <c r="H84" s="67">
        <f t="shared" si="21"/>
        <v>3.0550000000000002</v>
      </c>
      <c r="I84" s="73">
        <f t="shared" si="15"/>
        <v>0.38700000000000001</v>
      </c>
      <c r="J84" s="120">
        <f t="shared" si="19"/>
        <v>88.756536897152813</v>
      </c>
      <c r="L84" s="74">
        <f t="shared" si="16"/>
        <v>3442</v>
      </c>
      <c r="M84" s="79">
        <f t="shared" si="17"/>
        <v>3442</v>
      </c>
      <c r="N84" s="74">
        <f t="shared" si="18"/>
        <v>3055</v>
      </c>
    </row>
    <row r="85" spans="1:14" ht="38.25" x14ac:dyDescent="0.2">
      <c r="A85" s="147">
        <v>81</v>
      </c>
      <c r="B85" s="60" t="s">
        <v>20</v>
      </c>
      <c r="C85" s="152">
        <v>6300080620</v>
      </c>
      <c r="D85" s="57" t="s">
        <v>163</v>
      </c>
      <c r="E85" s="57" t="s">
        <v>27</v>
      </c>
      <c r="F85" s="153">
        <f>2.942+0.5</f>
        <v>3.4420000000000002</v>
      </c>
      <c r="G85" s="153">
        <f>0.6+2.455+0.387</f>
        <v>3.4420000000000002</v>
      </c>
      <c r="H85" s="153">
        <f>2.455+0.6</f>
        <v>3.0550000000000002</v>
      </c>
      <c r="I85" s="73">
        <f t="shared" si="15"/>
        <v>0.38700000000000001</v>
      </c>
      <c r="J85" s="120">
        <f t="shared" si="19"/>
        <v>88.756536897152813</v>
      </c>
      <c r="L85" s="74">
        <f t="shared" si="16"/>
        <v>3442</v>
      </c>
      <c r="M85" s="79">
        <f t="shared" si="17"/>
        <v>3442</v>
      </c>
      <c r="N85" s="74">
        <f t="shared" si="18"/>
        <v>3055</v>
      </c>
    </row>
    <row r="86" spans="1:14" x14ac:dyDescent="0.2">
      <c r="A86" s="147">
        <v>82</v>
      </c>
      <c r="B86" s="65" t="s">
        <v>144</v>
      </c>
      <c r="C86" s="18">
        <v>6400000000</v>
      </c>
      <c r="D86" s="57"/>
      <c r="E86" s="57"/>
      <c r="F86" s="153">
        <f>F87</f>
        <v>10</v>
      </c>
      <c r="G86" s="153">
        <f t="shared" ref="G86:H89" si="22">G87</f>
        <v>10</v>
      </c>
      <c r="H86" s="153">
        <f t="shared" si="22"/>
        <v>0</v>
      </c>
      <c r="I86" s="73">
        <f t="shared" si="15"/>
        <v>10</v>
      </c>
      <c r="J86" s="120">
        <f t="shared" si="19"/>
        <v>0</v>
      </c>
      <c r="L86" s="74">
        <f t="shared" si="16"/>
        <v>10000</v>
      </c>
      <c r="M86" s="79">
        <f t="shared" si="17"/>
        <v>10000</v>
      </c>
      <c r="N86" s="74">
        <f t="shared" si="18"/>
        <v>0</v>
      </c>
    </row>
    <row r="87" spans="1:14" ht="25.5" x14ac:dyDescent="0.2">
      <c r="A87" s="147">
        <v>83</v>
      </c>
      <c r="B87" s="102" t="s">
        <v>306</v>
      </c>
      <c r="C87" s="18">
        <v>6400080000</v>
      </c>
      <c r="D87" s="103" t="s">
        <v>154</v>
      </c>
      <c r="E87" s="103" t="s">
        <v>154</v>
      </c>
      <c r="F87" s="153">
        <f>F88</f>
        <v>10</v>
      </c>
      <c r="G87" s="153">
        <f t="shared" si="22"/>
        <v>10</v>
      </c>
      <c r="H87" s="153">
        <f t="shared" si="22"/>
        <v>0</v>
      </c>
      <c r="I87" s="73">
        <f t="shared" si="15"/>
        <v>10</v>
      </c>
      <c r="J87" s="120">
        <f t="shared" si="19"/>
        <v>0</v>
      </c>
      <c r="L87" s="74">
        <f t="shared" si="16"/>
        <v>10000</v>
      </c>
      <c r="M87" s="79">
        <f t="shared" si="17"/>
        <v>10000</v>
      </c>
      <c r="N87" s="74">
        <f t="shared" si="18"/>
        <v>0</v>
      </c>
    </row>
    <row r="88" spans="1:14" x14ac:dyDescent="0.2">
      <c r="A88" s="147">
        <v>84</v>
      </c>
      <c r="B88" s="101" t="s">
        <v>221</v>
      </c>
      <c r="C88" s="18">
        <v>6400080210</v>
      </c>
      <c r="D88" s="103" t="s">
        <v>226</v>
      </c>
      <c r="E88" s="103" t="s">
        <v>154</v>
      </c>
      <c r="F88" s="153">
        <f>F89</f>
        <v>10</v>
      </c>
      <c r="G88" s="153">
        <f t="shared" si="22"/>
        <v>10</v>
      </c>
      <c r="H88" s="153">
        <f t="shared" si="22"/>
        <v>0</v>
      </c>
      <c r="I88" s="73">
        <f t="shared" si="15"/>
        <v>10</v>
      </c>
      <c r="J88" s="120">
        <f t="shared" si="19"/>
        <v>0</v>
      </c>
      <c r="L88" s="74">
        <f t="shared" si="16"/>
        <v>10000</v>
      </c>
      <c r="M88" s="79">
        <f t="shared" si="17"/>
        <v>10000</v>
      </c>
      <c r="N88" s="74">
        <f t="shared" si="18"/>
        <v>0</v>
      </c>
    </row>
    <row r="89" spans="1:14" x14ac:dyDescent="0.2">
      <c r="A89" s="147">
        <v>85</v>
      </c>
      <c r="B89" s="101" t="s">
        <v>222</v>
      </c>
      <c r="C89" s="18">
        <v>6400080210</v>
      </c>
      <c r="D89" s="103" t="s">
        <v>227</v>
      </c>
      <c r="E89" s="103" t="s">
        <v>154</v>
      </c>
      <c r="F89" s="153">
        <f>F90</f>
        <v>10</v>
      </c>
      <c r="G89" s="153">
        <f t="shared" si="22"/>
        <v>10</v>
      </c>
      <c r="H89" s="153">
        <f t="shared" si="22"/>
        <v>0</v>
      </c>
      <c r="I89" s="73">
        <f t="shared" si="15"/>
        <v>10</v>
      </c>
      <c r="J89" s="120">
        <f t="shared" si="19"/>
        <v>0</v>
      </c>
      <c r="L89" s="74">
        <f t="shared" si="16"/>
        <v>10000</v>
      </c>
      <c r="M89" s="79">
        <f t="shared" si="17"/>
        <v>10000</v>
      </c>
      <c r="N89" s="74">
        <f t="shared" si="18"/>
        <v>0</v>
      </c>
    </row>
    <row r="90" spans="1:14" x14ac:dyDescent="0.2">
      <c r="A90" s="147">
        <v>86</v>
      </c>
      <c r="B90" s="101" t="s">
        <v>281</v>
      </c>
      <c r="C90" s="18">
        <v>6400080210</v>
      </c>
      <c r="D90" s="103" t="s">
        <v>227</v>
      </c>
      <c r="E90" s="103" t="s">
        <v>24</v>
      </c>
      <c r="F90" s="153">
        <f>F91</f>
        <v>10</v>
      </c>
      <c r="G90" s="153">
        <f>G91</f>
        <v>10</v>
      </c>
      <c r="H90" s="153">
        <f>H91</f>
        <v>0</v>
      </c>
      <c r="I90" s="73">
        <f t="shared" si="15"/>
        <v>10</v>
      </c>
      <c r="J90" s="120">
        <f t="shared" si="19"/>
        <v>0</v>
      </c>
      <c r="L90" s="74">
        <f t="shared" si="16"/>
        <v>10000</v>
      </c>
      <c r="M90" s="79">
        <f t="shared" si="17"/>
        <v>10000</v>
      </c>
      <c r="N90" s="74">
        <f t="shared" si="18"/>
        <v>0</v>
      </c>
    </row>
    <row r="91" spans="1:14" x14ac:dyDescent="0.2">
      <c r="A91" s="147">
        <v>87</v>
      </c>
      <c r="B91" s="101" t="s">
        <v>217</v>
      </c>
      <c r="C91" s="18">
        <v>6400080210</v>
      </c>
      <c r="D91" s="103" t="s">
        <v>227</v>
      </c>
      <c r="E91" s="103" t="s">
        <v>218</v>
      </c>
      <c r="F91" s="153">
        <v>10</v>
      </c>
      <c r="G91" s="153">
        <v>10</v>
      </c>
      <c r="H91" s="153">
        <v>0</v>
      </c>
      <c r="I91" s="73">
        <f t="shared" si="15"/>
        <v>10</v>
      </c>
      <c r="J91" s="120">
        <f t="shared" si="19"/>
        <v>0</v>
      </c>
      <c r="L91" s="74">
        <f t="shared" si="16"/>
        <v>10000</v>
      </c>
      <c r="M91" s="79">
        <f t="shared" si="17"/>
        <v>10000</v>
      </c>
      <c r="N91" s="74">
        <f t="shared" si="18"/>
        <v>0</v>
      </c>
    </row>
    <row r="92" spans="1:14" x14ac:dyDescent="0.2">
      <c r="A92" s="147">
        <v>88</v>
      </c>
      <c r="B92" s="65" t="s">
        <v>144</v>
      </c>
      <c r="C92" s="18">
        <v>6400000000</v>
      </c>
      <c r="D92" s="40"/>
      <c r="E92" s="40"/>
      <c r="F92" s="67">
        <f>F106+F93+F111</f>
        <v>1869.1174699999999</v>
      </c>
      <c r="G92" s="67">
        <f>G106+G93+G111</f>
        <v>1979.0286700000001</v>
      </c>
      <c r="H92" s="67">
        <f>H106+H93+H111</f>
        <v>1345.6608600000002</v>
      </c>
      <c r="I92" s="73">
        <f t="shared" si="15"/>
        <v>633.36780999999996</v>
      </c>
      <c r="J92" s="120">
        <f t="shared" si="19"/>
        <v>67.996026555795169</v>
      </c>
      <c r="L92" s="74">
        <f t="shared" si="16"/>
        <v>1869117.47</v>
      </c>
      <c r="M92" s="79">
        <f t="shared" si="17"/>
        <v>1979028.6700000002</v>
      </c>
      <c r="N92" s="74">
        <f t="shared" si="18"/>
        <v>1345660.86</v>
      </c>
    </row>
    <row r="93" spans="1:14" x14ac:dyDescent="0.2">
      <c r="A93" s="147">
        <v>89</v>
      </c>
      <c r="B93" s="64" t="s">
        <v>223</v>
      </c>
      <c r="C93" s="154" t="s">
        <v>228</v>
      </c>
      <c r="D93" s="57"/>
      <c r="E93" s="57"/>
      <c r="F93" s="67">
        <f>F94+F102+F98</f>
        <v>1854.38347</v>
      </c>
      <c r="G93" s="67">
        <f>G94+G102+G98</f>
        <v>1963.9456700000001</v>
      </c>
      <c r="H93" s="67">
        <f>H94+H102+H98</f>
        <v>1343.9083500000002</v>
      </c>
      <c r="I93" s="73">
        <f t="shared" si="15"/>
        <v>620.03731999999991</v>
      </c>
      <c r="J93" s="120">
        <f t="shared" si="19"/>
        <v>68.428998343930772</v>
      </c>
      <c r="L93" s="74">
        <f t="shared" si="16"/>
        <v>1854383.47</v>
      </c>
      <c r="M93" s="79">
        <f t="shared" si="17"/>
        <v>1963945.6700000002</v>
      </c>
      <c r="N93" s="74">
        <f t="shared" si="18"/>
        <v>1343908.35</v>
      </c>
    </row>
    <row r="94" spans="1:14" ht="38.25" x14ac:dyDescent="0.2">
      <c r="A94" s="147">
        <v>90</v>
      </c>
      <c r="B94" s="60" t="s">
        <v>69</v>
      </c>
      <c r="C94" s="154" t="s">
        <v>224</v>
      </c>
      <c r="D94" s="57" t="s">
        <v>70</v>
      </c>
      <c r="E94" s="57"/>
      <c r="F94" s="67">
        <f>F95</f>
        <v>1621.44247</v>
      </c>
      <c r="G94" s="67">
        <f t="shared" ref="F94:H100" si="23">G95</f>
        <v>1621.44247</v>
      </c>
      <c r="H94" s="67">
        <f t="shared" si="23"/>
        <v>1086.7405000000001</v>
      </c>
      <c r="I94" s="73">
        <f t="shared" si="15"/>
        <v>534.70196999999985</v>
      </c>
      <c r="J94" s="120">
        <f t="shared" si="19"/>
        <v>67.023068663052854</v>
      </c>
      <c r="L94" s="74">
        <f t="shared" si="16"/>
        <v>1621442.47</v>
      </c>
      <c r="M94" s="79">
        <f t="shared" si="17"/>
        <v>1621442.47</v>
      </c>
      <c r="N94" s="74">
        <f t="shared" si="18"/>
        <v>1086740.5</v>
      </c>
    </row>
    <row r="95" spans="1:14" x14ac:dyDescent="0.2">
      <c r="A95" s="147">
        <v>91</v>
      </c>
      <c r="B95" s="60" t="s">
        <v>157</v>
      </c>
      <c r="C95" s="154" t="s">
        <v>224</v>
      </c>
      <c r="D95" s="57" t="s">
        <v>74</v>
      </c>
      <c r="E95" s="57"/>
      <c r="F95" s="67">
        <f t="shared" si="23"/>
        <v>1621.44247</v>
      </c>
      <c r="G95" s="153">
        <f>G96</f>
        <v>1621.44247</v>
      </c>
      <c r="H95" s="153">
        <f t="shared" si="23"/>
        <v>1086.7405000000001</v>
      </c>
      <c r="I95" s="73">
        <f t="shared" si="15"/>
        <v>534.70196999999985</v>
      </c>
      <c r="J95" s="120">
        <f t="shared" si="19"/>
        <v>67.023068663052854</v>
      </c>
      <c r="L95" s="74">
        <f t="shared" si="16"/>
        <v>1621442.47</v>
      </c>
      <c r="M95" s="79">
        <f t="shared" si="17"/>
        <v>1621442.47</v>
      </c>
      <c r="N95" s="74">
        <f t="shared" si="18"/>
        <v>1086740.5</v>
      </c>
    </row>
    <row r="96" spans="1:14" x14ac:dyDescent="0.2">
      <c r="A96" s="147">
        <v>92</v>
      </c>
      <c r="B96" s="101" t="s">
        <v>281</v>
      </c>
      <c r="C96" s="154" t="s">
        <v>224</v>
      </c>
      <c r="D96" s="57" t="s">
        <v>74</v>
      </c>
      <c r="E96" s="57" t="s">
        <v>24</v>
      </c>
      <c r="F96" s="67">
        <f t="shared" si="23"/>
        <v>1621.44247</v>
      </c>
      <c r="G96" s="67">
        <f t="shared" si="23"/>
        <v>1621.44247</v>
      </c>
      <c r="H96" s="67">
        <f>H97</f>
        <v>1086.7405000000001</v>
      </c>
      <c r="I96" s="73">
        <f t="shared" si="15"/>
        <v>534.70196999999985</v>
      </c>
      <c r="J96" s="120">
        <f t="shared" si="19"/>
        <v>67.023068663052854</v>
      </c>
      <c r="L96" s="74">
        <f t="shared" si="16"/>
        <v>1621442.47</v>
      </c>
      <c r="M96" s="79">
        <f t="shared" si="17"/>
        <v>1621442.47</v>
      </c>
      <c r="N96" s="74">
        <f t="shared" si="18"/>
        <v>1086740.5</v>
      </c>
    </row>
    <row r="97" spans="1:14" x14ac:dyDescent="0.2">
      <c r="A97" s="147">
        <v>93</v>
      </c>
      <c r="B97" s="58" t="s">
        <v>143</v>
      </c>
      <c r="C97" s="154" t="s">
        <v>224</v>
      </c>
      <c r="D97" s="57" t="s">
        <v>74</v>
      </c>
      <c r="E97" s="57" t="s">
        <v>57</v>
      </c>
      <c r="F97" s="153">
        <f>1245.34752+376.09495</f>
        <v>1621.44247</v>
      </c>
      <c r="G97" s="153">
        <f>([1]Бюджет!$G$47+[1]Бюджет!$G$49+[1]Бюджет!$G$48)/1000</f>
        <v>1621.44247</v>
      </c>
      <c r="H97" s="153">
        <f>843.95534+238.22891+4.55625</f>
        <v>1086.7405000000001</v>
      </c>
      <c r="I97" s="73">
        <f t="shared" si="15"/>
        <v>534.70196999999985</v>
      </c>
      <c r="J97" s="120">
        <f t="shared" si="19"/>
        <v>67.023068663052854</v>
      </c>
      <c r="L97" s="74">
        <f t="shared" si="16"/>
        <v>1621442.47</v>
      </c>
      <c r="M97" s="79">
        <f t="shared" si="17"/>
        <v>1621442.47</v>
      </c>
      <c r="N97" s="74">
        <f t="shared" si="18"/>
        <v>1086740.5</v>
      </c>
    </row>
    <row r="98" spans="1:14" ht="38.25" x14ac:dyDescent="0.2">
      <c r="A98" s="147"/>
      <c r="B98" s="60" t="s">
        <v>69</v>
      </c>
      <c r="C98" s="154" t="s">
        <v>482</v>
      </c>
      <c r="D98" s="57" t="s">
        <v>70</v>
      </c>
      <c r="E98" s="57"/>
      <c r="F98" s="67">
        <f>F99</f>
        <v>0</v>
      </c>
      <c r="G98" s="67">
        <f t="shared" si="23"/>
        <v>37.258240000000001</v>
      </c>
      <c r="H98" s="67">
        <f t="shared" si="23"/>
        <v>12.988290000000001</v>
      </c>
      <c r="I98" s="73">
        <f>G98-H98</f>
        <v>24.269950000000001</v>
      </c>
      <c r="J98" s="120">
        <f>H98/G98*100</f>
        <v>34.860181264600797</v>
      </c>
      <c r="L98" s="74"/>
      <c r="M98" s="79"/>
      <c r="N98" s="74"/>
    </row>
    <row r="99" spans="1:14" x14ac:dyDescent="0.2">
      <c r="A99" s="147"/>
      <c r="B99" s="60" t="s">
        <v>157</v>
      </c>
      <c r="C99" s="154" t="s">
        <v>482</v>
      </c>
      <c r="D99" s="57" t="s">
        <v>74</v>
      </c>
      <c r="E99" s="57"/>
      <c r="F99" s="67">
        <f t="shared" si="23"/>
        <v>0</v>
      </c>
      <c r="G99" s="153">
        <f>G100</f>
        <v>37.258240000000001</v>
      </c>
      <c r="H99" s="153">
        <f t="shared" si="23"/>
        <v>12.988290000000001</v>
      </c>
      <c r="I99" s="73">
        <f>G99-H99</f>
        <v>24.269950000000001</v>
      </c>
      <c r="J99" s="120">
        <f>H99/G99*100</f>
        <v>34.860181264600797</v>
      </c>
      <c r="L99" s="74"/>
      <c r="M99" s="79"/>
      <c r="N99" s="74"/>
    </row>
    <row r="100" spans="1:14" x14ac:dyDescent="0.2">
      <c r="A100" s="147"/>
      <c r="B100" s="101" t="s">
        <v>281</v>
      </c>
      <c r="C100" s="154" t="s">
        <v>482</v>
      </c>
      <c r="D100" s="57" t="s">
        <v>74</v>
      </c>
      <c r="E100" s="57" t="s">
        <v>24</v>
      </c>
      <c r="F100" s="67">
        <f t="shared" si="23"/>
        <v>0</v>
      </c>
      <c r="G100" s="67">
        <f t="shared" si="23"/>
        <v>37.258240000000001</v>
      </c>
      <c r="H100" s="67">
        <f>H101</f>
        <v>12.988290000000001</v>
      </c>
      <c r="I100" s="73">
        <f>G100-H100</f>
        <v>24.269950000000001</v>
      </c>
      <c r="J100" s="120">
        <f>H100/G100*100</f>
        <v>34.860181264600797</v>
      </c>
      <c r="L100" s="74"/>
      <c r="M100" s="79"/>
      <c r="N100" s="74"/>
    </row>
    <row r="101" spans="1:14" x14ac:dyDescent="0.2">
      <c r="A101" s="147"/>
      <c r="B101" s="58" t="s">
        <v>143</v>
      </c>
      <c r="C101" s="154" t="s">
        <v>482</v>
      </c>
      <c r="D101" s="57" t="s">
        <v>74</v>
      </c>
      <c r="E101" s="57" t="s">
        <v>57</v>
      </c>
      <c r="F101" s="153">
        <v>0</v>
      </c>
      <c r="G101" s="153">
        <f>([1]Бюджет!$G$54+[1]Бюджет!$G$55)/1000</f>
        <v>37.258240000000001</v>
      </c>
      <c r="H101" s="153">
        <f>10.15041+2.83788</f>
        <v>12.988290000000001</v>
      </c>
      <c r="I101" s="73">
        <f>G101-H101</f>
        <v>24.269950000000001</v>
      </c>
      <c r="J101" s="120">
        <f>H101/G101*100</f>
        <v>34.860181264600797</v>
      </c>
      <c r="L101" s="74"/>
      <c r="M101" s="79"/>
      <c r="N101" s="74"/>
    </row>
    <row r="102" spans="1:14" x14ac:dyDescent="0.2">
      <c r="A102" s="147">
        <v>98</v>
      </c>
      <c r="B102" s="155" t="s">
        <v>71</v>
      </c>
      <c r="C102" s="154" t="s">
        <v>224</v>
      </c>
      <c r="D102" s="57" t="s">
        <v>72</v>
      </c>
      <c r="E102" s="57"/>
      <c r="F102" s="67">
        <f>F103</f>
        <v>232.94099999999997</v>
      </c>
      <c r="G102" s="153">
        <f t="shared" ref="G102:H104" si="24">G103</f>
        <v>305.24495999999999</v>
      </c>
      <c r="H102" s="153">
        <f t="shared" si="24"/>
        <v>244.17955999999998</v>
      </c>
      <c r="I102" s="73">
        <f t="shared" si="15"/>
        <v>61.065400000000011</v>
      </c>
      <c r="J102" s="120">
        <f t="shared" si="19"/>
        <v>79.994624645071937</v>
      </c>
      <c r="L102" s="74">
        <f t="shared" si="16"/>
        <v>232940.99999999997</v>
      </c>
      <c r="M102" s="79">
        <f t="shared" si="17"/>
        <v>305244.95999999996</v>
      </c>
      <c r="N102" s="74">
        <f t="shared" si="18"/>
        <v>244179.55999999997</v>
      </c>
    </row>
    <row r="103" spans="1:14" ht="27.75" customHeight="1" x14ac:dyDescent="0.2">
      <c r="A103" s="147">
        <v>99</v>
      </c>
      <c r="B103" s="155" t="s">
        <v>156</v>
      </c>
      <c r="C103" s="154" t="s">
        <v>224</v>
      </c>
      <c r="D103" s="57" t="s">
        <v>73</v>
      </c>
      <c r="E103" s="57"/>
      <c r="F103" s="67">
        <f>F104</f>
        <v>232.94099999999997</v>
      </c>
      <c r="G103" s="153">
        <f t="shared" si="24"/>
        <v>305.24495999999999</v>
      </c>
      <c r="H103" s="153">
        <f t="shared" si="24"/>
        <v>244.17955999999998</v>
      </c>
      <c r="I103" s="73">
        <f t="shared" si="15"/>
        <v>61.065400000000011</v>
      </c>
      <c r="J103" s="120">
        <f t="shared" si="19"/>
        <v>79.994624645071937</v>
      </c>
      <c r="L103" s="74">
        <f t="shared" si="16"/>
        <v>232940.99999999997</v>
      </c>
      <c r="M103" s="79">
        <f t="shared" si="17"/>
        <v>305244.95999999996</v>
      </c>
      <c r="N103" s="74">
        <f t="shared" si="18"/>
        <v>244179.55999999997</v>
      </c>
    </row>
    <row r="104" spans="1:14" x14ac:dyDescent="0.2">
      <c r="A104" s="147">
        <v>100</v>
      </c>
      <c r="B104" s="101" t="s">
        <v>281</v>
      </c>
      <c r="C104" s="154" t="s">
        <v>224</v>
      </c>
      <c r="D104" s="57" t="s">
        <v>73</v>
      </c>
      <c r="E104" s="57" t="s">
        <v>24</v>
      </c>
      <c r="F104" s="67">
        <f>F105</f>
        <v>232.94099999999997</v>
      </c>
      <c r="G104" s="67">
        <f t="shared" si="24"/>
        <v>305.24495999999999</v>
      </c>
      <c r="H104" s="67">
        <f t="shared" si="24"/>
        <v>244.17955999999998</v>
      </c>
      <c r="I104" s="73">
        <f t="shared" si="15"/>
        <v>61.065400000000011</v>
      </c>
      <c r="J104" s="120">
        <f t="shared" si="19"/>
        <v>79.994624645071937</v>
      </c>
      <c r="L104" s="74">
        <f t="shared" si="16"/>
        <v>232940.99999999997</v>
      </c>
      <c r="M104" s="79">
        <f t="shared" si="17"/>
        <v>305244.95999999996</v>
      </c>
      <c r="N104" s="74">
        <f t="shared" si="18"/>
        <v>244179.55999999997</v>
      </c>
    </row>
    <row r="105" spans="1:14" x14ac:dyDescent="0.2">
      <c r="A105" s="147">
        <v>101</v>
      </c>
      <c r="B105" s="58" t="s">
        <v>143</v>
      </c>
      <c r="C105" s="154" t="s">
        <v>224</v>
      </c>
      <c r="D105" s="57" t="s">
        <v>73</v>
      </c>
      <c r="E105" s="57" t="s">
        <v>57</v>
      </c>
      <c r="F105" s="153">
        <f>58.527+6+168.414</f>
        <v>232.94099999999997</v>
      </c>
      <c r="G105" s="153">
        <f>62.83096+6+231.414+5</f>
        <v>305.24495999999999</v>
      </c>
      <c r="H105" s="153">
        <f>41.81556+3.05+199.314</f>
        <v>244.17955999999998</v>
      </c>
      <c r="I105" s="73">
        <f t="shared" si="15"/>
        <v>61.065400000000011</v>
      </c>
      <c r="J105" s="120">
        <f t="shared" si="19"/>
        <v>79.994624645071937</v>
      </c>
      <c r="L105" s="74">
        <f t="shared" si="16"/>
        <v>232940.99999999997</v>
      </c>
      <c r="M105" s="79">
        <f t="shared" si="17"/>
        <v>305244.95999999996</v>
      </c>
      <c r="N105" s="74">
        <f t="shared" si="18"/>
        <v>244179.55999999997</v>
      </c>
    </row>
    <row r="106" spans="1:14" ht="25.5" x14ac:dyDescent="0.2">
      <c r="A106" s="147">
        <v>102</v>
      </c>
      <c r="B106" s="60" t="s">
        <v>159</v>
      </c>
      <c r="C106" s="152">
        <v>6400075140</v>
      </c>
      <c r="D106" s="57"/>
      <c r="E106" s="57"/>
      <c r="F106" s="67">
        <f t="shared" ref="F106:H109" si="25">F107</f>
        <v>14.734</v>
      </c>
      <c r="G106" s="67">
        <f t="shared" si="25"/>
        <v>15.083</v>
      </c>
      <c r="H106" s="67">
        <f t="shared" si="25"/>
        <v>1.75251</v>
      </c>
      <c r="I106" s="73">
        <f t="shared" si="15"/>
        <v>13.330490000000001</v>
      </c>
      <c r="J106" s="120">
        <f t="shared" si="19"/>
        <v>11.619107604587947</v>
      </c>
      <c r="L106" s="74">
        <f t="shared" si="16"/>
        <v>14734</v>
      </c>
      <c r="M106" s="79">
        <f t="shared" si="17"/>
        <v>15083</v>
      </c>
      <c r="N106" s="74">
        <f t="shared" si="18"/>
        <v>1752.51</v>
      </c>
    </row>
    <row r="107" spans="1:14" x14ac:dyDescent="0.2">
      <c r="A107" s="147">
        <v>103</v>
      </c>
      <c r="B107" s="155" t="s">
        <v>71</v>
      </c>
      <c r="C107" s="152">
        <v>6400075140</v>
      </c>
      <c r="D107" s="57" t="s">
        <v>72</v>
      </c>
      <c r="E107" s="57"/>
      <c r="F107" s="67">
        <f>F108</f>
        <v>14.734</v>
      </c>
      <c r="G107" s="67">
        <f t="shared" si="25"/>
        <v>15.083</v>
      </c>
      <c r="H107" s="67">
        <f t="shared" si="25"/>
        <v>1.75251</v>
      </c>
      <c r="I107" s="73">
        <f t="shared" si="15"/>
        <v>13.330490000000001</v>
      </c>
      <c r="J107" s="120">
        <f t="shared" si="19"/>
        <v>11.619107604587947</v>
      </c>
      <c r="L107" s="74">
        <f t="shared" si="16"/>
        <v>14734</v>
      </c>
      <c r="M107" s="79">
        <f t="shared" si="17"/>
        <v>15083</v>
      </c>
      <c r="N107" s="74">
        <f t="shared" si="18"/>
        <v>1752.51</v>
      </c>
    </row>
    <row r="108" spans="1:14" ht="25.5" x14ac:dyDescent="0.2">
      <c r="A108" s="147">
        <v>104</v>
      </c>
      <c r="B108" s="155" t="s">
        <v>156</v>
      </c>
      <c r="C108" s="152">
        <v>6400075140</v>
      </c>
      <c r="D108" s="57" t="s">
        <v>73</v>
      </c>
      <c r="E108" s="57"/>
      <c r="F108" s="67">
        <f>F109</f>
        <v>14.734</v>
      </c>
      <c r="G108" s="67">
        <f t="shared" si="25"/>
        <v>15.083</v>
      </c>
      <c r="H108" s="67">
        <f t="shared" si="25"/>
        <v>1.75251</v>
      </c>
      <c r="I108" s="73">
        <f t="shared" si="15"/>
        <v>13.330490000000001</v>
      </c>
      <c r="J108" s="120">
        <f t="shared" si="19"/>
        <v>11.619107604587947</v>
      </c>
      <c r="L108" s="74">
        <f t="shared" si="16"/>
        <v>14734</v>
      </c>
      <c r="M108" s="79">
        <f t="shared" si="17"/>
        <v>15083</v>
      </c>
      <c r="N108" s="74">
        <f t="shared" si="18"/>
        <v>1752.51</v>
      </c>
    </row>
    <row r="109" spans="1:14" x14ac:dyDescent="0.2">
      <c r="A109" s="147">
        <v>105</v>
      </c>
      <c r="B109" s="101" t="s">
        <v>281</v>
      </c>
      <c r="C109" s="152">
        <v>6400075140</v>
      </c>
      <c r="D109" s="57" t="s">
        <v>73</v>
      </c>
      <c r="E109" s="57" t="s">
        <v>24</v>
      </c>
      <c r="F109" s="67">
        <f t="shared" si="25"/>
        <v>14.734</v>
      </c>
      <c r="G109" s="153">
        <f t="shared" si="25"/>
        <v>15.083</v>
      </c>
      <c r="H109" s="153">
        <f t="shared" si="25"/>
        <v>1.75251</v>
      </c>
      <c r="I109" s="73">
        <f t="shared" si="15"/>
        <v>13.330490000000001</v>
      </c>
      <c r="J109" s="120">
        <f t="shared" si="19"/>
        <v>11.619107604587947</v>
      </c>
      <c r="L109" s="74">
        <f t="shared" si="16"/>
        <v>14734</v>
      </c>
      <c r="M109" s="79">
        <f t="shared" si="17"/>
        <v>15083</v>
      </c>
      <c r="N109" s="74">
        <f t="shared" si="18"/>
        <v>1752.51</v>
      </c>
    </row>
    <row r="110" spans="1:14" x14ac:dyDescent="0.2">
      <c r="A110" s="147">
        <v>106</v>
      </c>
      <c r="B110" s="58" t="s">
        <v>143</v>
      </c>
      <c r="C110" s="152">
        <v>6400075140</v>
      </c>
      <c r="D110" s="57" t="s">
        <v>73</v>
      </c>
      <c r="E110" s="57" t="s">
        <v>57</v>
      </c>
      <c r="F110" s="67">
        <v>14.734</v>
      </c>
      <c r="G110" s="153">
        <v>15.083</v>
      </c>
      <c r="H110" s="153">
        <v>1.75251</v>
      </c>
      <c r="I110" s="73">
        <f t="shared" si="15"/>
        <v>13.330490000000001</v>
      </c>
      <c r="J110" s="120">
        <f t="shared" si="19"/>
        <v>11.619107604587947</v>
      </c>
      <c r="L110" s="74">
        <f t="shared" si="16"/>
        <v>14734</v>
      </c>
      <c r="M110" s="79">
        <f t="shared" si="17"/>
        <v>15083</v>
      </c>
      <c r="N110" s="74">
        <f t="shared" si="18"/>
        <v>1752.51</v>
      </c>
    </row>
    <row r="111" spans="1:14" x14ac:dyDescent="0.2">
      <c r="A111" s="147">
        <v>107</v>
      </c>
      <c r="B111" s="151" t="s">
        <v>221</v>
      </c>
      <c r="C111" s="152">
        <v>6400080240</v>
      </c>
      <c r="D111" s="57" t="s">
        <v>226</v>
      </c>
      <c r="E111" s="57"/>
      <c r="F111" s="67">
        <f t="shared" ref="F111:H112" si="26">F112</f>
        <v>0</v>
      </c>
      <c r="G111" s="67">
        <f t="shared" si="26"/>
        <v>0</v>
      </c>
      <c r="H111" s="67">
        <f t="shared" si="26"/>
        <v>0</v>
      </c>
      <c r="I111" s="73">
        <f t="shared" si="15"/>
        <v>0</v>
      </c>
      <c r="J111" s="120">
        <v>0</v>
      </c>
      <c r="L111" s="74">
        <f t="shared" si="16"/>
        <v>0</v>
      </c>
      <c r="M111" s="79">
        <f t="shared" si="17"/>
        <v>0</v>
      </c>
      <c r="N111" s="74">
        <f t="shared" si="18"/>
        <v>0</v>
      </c>
    </row>
    <row r="112" spans="1:14" x14ac:dyDescent="0.2">
      <c r="A112" s="147">
        <v>108</v>
      </c>
      <c r="B112" s="58" t="s">
        <v>143</v>
      </c>
      <c r="C112" s="152">
        <v>6400080240</v>
      </c>
      <c r="D112" s="57" t="s">
        <v>163</v>
      </c>
      <c r="E112" s="57" t="s">
        <v>24</v>
      </c>
      <c r="F112" s="67">
        <f t="shared" si="26"/>
        <v>0</v>
      </c>
      <c r="G112" s="67">
        <f t="shared" si="26"/>
        <v>0</v>
      </c>
      <c r="H112" s="67">
        <f t="shared" si="26"/>
        <v>0</v>
      </c>
      <c r="I112" s="73">
        <f t="shared" si="15"/>
        <v>0</v>
      </c>
      <c r="J112" s="120">
        <v>0</v>
      </c>
      <c r="L112" s="74">
        <f t="shared" si="16"/>
        <v>0</v>
      </c>
      <c r="M112" s="79">
        <f t="shared" si="17"/>
        <v>0</v>
      </c>
      <c r="N112" s="74">
        <f t="shared" si="18"/>
        <v>0</v>
      </c>
    </row>
    <row r="113" spans="1:14" x14ac:dyDescent="0.2">
      <c r="A113" s="147">
        <v>109</v>
      </c>
      <c r="B113" s="58" t="s">
        <v>390</v>
      </c>
      <c r="C113" s="152">
        <v>6400080240</v>
      </c>
      <c r="D113" s="57" t="s">
        <v>163</v>
      </c>
      <c r="E113" s="57" t="s">
        <v>57</v>
      </c>
      <c r="F113" s="67">
        <v>0</v>
      </c>
      <c r="G113" s="153">
        <v>0</v>
      </c>
      <c r="H113" s="153">
        <v>0</v>
      </c>
      <c r="I113" s="73">
        <f t="shared" si="15"/>
        <v>0</v>
      </c>
      <c r="J113" s="120">
        <v>0</v>
      </c>
      <c r="L113" s="74">
        <f t="shared" si="16"/>
        <v>0</v>
      </c>
      <c r="M113" s="79">
        <f t="shared" si="17"/>
        <v>0</v>
      </c>
      <c r="N113" s="74">
        <f t="shared" si="18"/>
        <v>0</v>
      </c>
    </row>
    <row r="114" spans="1:14" x14ac:dyDescent="0.2">
      <c r="A114" s="147">
        <v>110</v>
      </c>
      <c r="B114" s="65" t="s">
        <v>144</v>
      </c>
      <c r="C114" s="18">
        <v>6400000000</v>
      </c>
      <c r="D114" s="40"/>
      <c r="E114" s="40"/>
      <c r="F114" s="67">
        <f>F115</f>
        <v>443.13299999999998</v>
      </c>
      <c r="G114" s="67">
        <f>G115</f>
        <v>522.63699999999994</v>
      </c>
      <c r="H114" s="67">
        <f>H115</f>
        <v>278.65364</v>
      </c>
      <c r="I114" s="73">
        <f t="shared" si="15"/>
        <v>243.98335999999995</v>
      </c>
      <c r="J114" s="120">
        <f t="shared" si="19"/>
        <v>53.31686045955415</v>
      </c>
      <c r="L114" s="74">
        <f t="shared" si="16"/>
        <v>443133</v>
      </c>
      <c r="M114" s="79">
        <f t="shared" si="17"/>
        <v>522636.99999999994</v>
      </c>
      <c r="N114" s="74">
        <f t="shared" si="18"/>
        <v>278653.64</v>
      </c>
    </row>
    <row r="115" spans="1:14" ht="38.25" x14ac:dyDescent="0.2">
      <c r="A115" s="147">
        <v>111</v>
      </c>
      <c r="B115" s="156" t="s">
        <v>160</v>
      </c>
      <c r="C115" s="152">
        <v>6400051180</v>
      </c>
      <c r="D115" s="57"/>
      <c r="E115" s="57"/>
      <c r="F115" s="100">
        <f>F116+F120</f>
        <v>443.13299999999998</v>
      </c>
      <c r="G115" s="100">
        <f>G116+G120</f>
        <v>522.63699999999994</v>
      </c>
      <c r="H115" s="100">
        <f>H116+H120</f>
        <v>278.65364</v>
      </c>
      <c r="I115" s="73">
        <f t="shared" si="15"/>
        <v>243.98335999999995</v>
      </c>
      <c r="J115" s="120">
        <f t="shared" si="19"/>
        <v>53.31686045955415</v>
      </c>
      <c r="L115" s="74">
        <f t="shared" si="16"/>
        <v>443133</v>
      </c>
      <c r="M115" s="79">
        <f t="shared" si="17"/>
        <v>522636.99999999994</v>
      </c>
      <c r="N115" s="74">
        <f t="shared" si="18"/>
        <v>278653.64</v>
      </c>
    </row>
    <row r="116" spans="1:14" ht="38.25" x14ac:dyDescent="0.2">
      <c r="A116" s="147">
        <v>112</v>
      </c>
      <c r="B116" s="64" t="s">
        <v>69</v>
      </c>
      <c r="C116" s="152">
        <v>6400051180</v>
      </c>
      <c r="D116" s="57" t="s">
        <v>70</v>
      </c>
      <c r="E116" s="57"/>
      <c r="F116" s="100">
        <f>F117</f>
        <v>433.13299999999998</v>
      </c>
      <c r="G116" s="100">
        <f t="shared" ref="G116:H118" si="27">G117</f>
        <v>463.13299999999998</v>
      </c>
      <c r="H116" s="100">
        <f>H117</f>
        <v>273.83156000000002</v>
      </c>
      <c r="I116" s="73">
        <f t="shared" si="15"/>
        <v>189.30143999999996</v>
      </c>
      <c r="J116" s="120">
        <f t="shared" si="19"/>
        <v>59.125901199007636</v>
      </c>
      <c r="L116" s="74">
        <f t="shared" si="16"/>
        <v>433133</v>
      </c>
      <c r="M116" s="79">
        <f t="shared" si="17"/>
        <v>463133</v>
      </c>
      <c r="N116" s="74">
        <f t="shared" si="18"/>
        <v>273831.56</v>
      </c>
    </row>
    <row r="117" spans="1:14" x14ac:dyDescent="0.2">
      <c r="A117" s="147">
        <v>113</v>
      </c>
      <c r="B117" s="60" t="s">
        <v>157</v>
      </c>
      <c r="C117" s="152">
        <v>6400051180</v>
      </c>
      <c r="D117" s="57" t="s">
        <v>74</v>
      </c>
      <c r="E117" s="57"/>
      <c r="F117" s="100">
        <f>F118</f>
        <v>433.13299999999998</v>
      </c>
      <c r="G117" s="153">
        <f t="shared" si="27"/>
        <v>463.13299999999998</v>
      </c>
      <c r="H117" s="153">
        <f>H118</f>
        <v>273.83156000000002</v>
      </c>
      <c r="I117" s="73">
        <f t="shared" si="15"/>
        <v>189.30143999999996</v>
      </c>
      <c r="J117" s="120">
        <f t="shared" si="19"/>
        <v>59.125901199007636</v>
      </c>
      <c r="L117" s="74">
        <f t="shared" si="16"/>
        <v>433133</v>
      </c>
      <c r="M117" s="79">
        <f t="shared" si="17"/>
        <v>463133</v>
      </c>
      <c r="N117" s="74">
        <f t="shared" si="18"/>
        <v>273831.56</v>
      </c>
    </row>
    <row r="118" spans="1:14" x14ac:dyDescent="0.2">
      <c r="A118" s="147">
        <v>114</v>
      </c>
      <c r="B118" s="58" t="s">
        <v>145</v>
      </c>
      <c r="C118" s="152">
        <v>6400051180</v>
      </c>
      <c r="D118" s="57" t="s">
        <v>74</v>
      </c>
      <c r="E118" s="57" t="s">
        <v>146</v>
      </c>
      <c r="F118" s="100">
        <f>F119</f>
        <v>433.13299999999998</v>
      </c>
      <c r="G118" s="153">
        <f t="shared" si="27"/>
        <v>463.13299999999998</v>
      </c>
      <c r="H118" s="153">
        <f t="shared" si="27"/>
        <v>273.83156000000002</v>
      </c>
      <c r="I118" s="73">
        <f t="shared" si="15"/>
        <v>189.30143999999996</v>
      </c>
      <c r="J118" s="120">
        <f t="shared" si="19"/>
        <v>59.125901199007636</v>
      </c>
      <c r="L118" s="74">
        <f t="shared" si="16"/>
        <v>433133</v>
      </c>
      <c r="M118" s="79">
        <f t="shared" si="17"/>
        <v>463133</v>
      </c>
      <c r="N118" s="74">
        <f t="shared" si="18"/>
        <v>273831.56</v>
      </c>
    </row>
    <row r="119" spans="1:14" x14ac:dyDescent="0.2">
      <c r="A119" s="147">
        <v>115</v>
      </c>
      <c r="B119" s="58" t="s">
        <v>147</v>
      </c>
      <c r="C119" s="152">
        <v>6400051180</v>
      </c>
      <c r="D119" s="57" t="s">
        <v>74</v>
      </c>
      <c r="E119" s="57" t="s">
        <v>29</v>
      </c>
      <c r="F119" s="104">
        <f>332.66744+100.46556</f>
        <v>433.13299999999998</v>
      </c>
      <c r="G119" s="153">
        <f>362.66744+100.46556</f>
        <v>463.13299999999998</v>
      </c>
      <c r="H119" s="153">
        <f>216.90886+56.9227</f>
        <v>273.83156000000002</v>
      </c>
      <c r="I119" s="73">
        <f t="shared" si="15"/>
        <v>189.30143999999996</v>
      </c>
      <c r="J119" s="120">
        <f t="shared" si="19"/>
        <v>59.125901199007636</v>
      </c>
      <c r="L119" s="74">
        <f t="shared" si="16"/>
        <v>433133</v>
      </c>
      <c r="M119" s="79">
        <f t="shared" si="17"/>
        <v>463133</v>
      </c>
      <c r="N119" s="74">
        <f t="shared" si="18"/>
        <v>273831.56</v>
      </c>
    </row>
    <row r="120" spans="1:14" x14ac:dyDescent="0.2">
      <c r="A120" s="147">
        <v>116</v>
      </c>
      <c r="B120" s="155" t="s">
        <v>71</v>
      </c>
      <c r="C120" s="152">
        <v>6400051180</v>
      </c>
      <c r="D120" s="57" t="s">
        <v>72</v>
      </c>
      <c r="E120" s="57"/>
      <c r="F120" s="100">
        <f t="shared" ref="F120:H122" si="28">F121</f>
        <v>10</v>
      </c>
      <c r="G120" s="153">
        <f>G121</f>
        <v>59.503999999999998</v>
      </c>
      <c r="H120" s="153">
        <f t="shared" si="28"/>
        <v>4.8220799999999997</v>
      </c>
      <c r="I120" s="73">
        <f t="shared" si="15"/>
        <v>54.681919999999998</v>
      </c>
      <c r="J120" s="120">
        <f t="shared" si="19"/>
        <v>8.1037913417585372</v>
      </c>
      <c r="L120" s="74">
        <f t="shared" si="16"/>
        <v>10000</v>
      </c>
      <c r="M120" s="79">
        <f t="shared" si="17"/>
        <v>59504</v>
      </c>
      <c r="N120" s="74">
        <f t="shared" si="18"/>
        <v>4822.08</v>
      </c>
    </row>
    <row r="121" spans="1:14" ht="25.5" x14ac:dyDescent="0.2">
      <c r="A121" s="147">
        <v>117</v>
      </c>
      <c r="B121" s="155" t="s">
        <v>156</v>
      </c>
      <c r="C121" s="152">
        <v>6400051180</v>
      </c>
      <c r="D121" s="57" t="s">
        <v>73</v>
      </c>
      <c r="E121" s="57"/>
      <c r="F121" s="100">
        <f t="shared" si="28"/>
        <v>10</v>
      </c>
      <c r="G121" s="153">
        <f>G122</f>
        <v>59.503999999999998</v>
      </c>
      <c r="H121" s="153">
        <f t="shared" si="28"/>
        <v>4.8220799999999997</v>
      </c>
      <c r="I121" s="73">
        <f t="shared" si="15"/>
        <v>54.681919999999998</v>
      </c>
      <c r="J121" s="120">
        <f t="shared" si="19"/>
        <v>8.1037913417585372</v>
      </c>
      <c r="L121" s="74">
        <f t="shared" si="16"/>
        <v>10000</v>
      </c>
      <c r="M121" s="79">
        <f t="shared" si="17"/>
        <v>59504</v>
      </c>
      <c r="N121" s="74">
        <f t="shared" si="18"/>
        <v>4822.08</v>
      </c>
    </row>
    <row r="122" spans="1:14" x14ac:dyDescent="0.2">
      <c r="A122" s="147">
        <v>118</v>
      </c>
      <c r="B122" s="58" t="s">
        <v>145</v>
      </c>
      <c r="C122" s="152">
        <v>6400051180</v>
      </c>
      <c r="D122" s="57" t="s">
        <v>73</v>
      </c>
      <c r="E122" s="57" t="s">
        <v>146</v>
      </c>
      <c r="F122" s="100">
        <f t="shared" si="28"/>
        <v>10</v>
      </c>
      <c r="G122" s="153">
        <f>G123</f>
        <v>59.503999999999998</v>
      </c>
      <c r="H122" s="153">
        <f t="shared" si="28"/>
        <v>4.8220799999999997</v>
      </c>
      <c r="I122" s="73">
        <f t="shared" si="15"/>
        <v>54.681919999999998</v>
      </c>
      <c r="J122" s="120">
        <f t="shared" si="19"/>
        <v>8.1037913417585372</v>
      </c>
      <c r="L122" s="74">
        <f t="shared" si="16"/>
        <v>10000</v>
      </c>
      <c r="M122" s="79">
        <f t="shared" si="17"/>
        <v>59504</v>
      </c>
      <c r="N122" s="74">
        <f t="shared" si="18"/>
        <v>4822.08</v>
      </c>
    </row>
    <row r="123" spans="1:14" x14ac:dyDescent="0.2">
      <c r="A123" s="147">
        <v>119</v>
      </c>
      <c r="B123" s="58" t="s">
        <v>147</v>
      </c>
      <c r="C123" s="152">
        <v>6400051180</v>
      </c>
      <c r="D123" s="57" t="s">
        <v>73</v>
      </c>
      <c r="E123" s="57" t="s">
        <v>29</v>
      </c>
      <c r="F123" s="104">
        <f>8.229+1.771</f>
        <v>10</v>
      </c>
      <c r="G123" s="104">
        <f>59.504</f>
        <v>59.503999999999998</v>
      </c>
      <c r="H123" s="104">
        <v>4.8220799999999997</v>
      </c>
      <c r="I123" s="73">
        <f t="shared" si="15"/>
        <v>54.681919999999998</v>
      </c>
      <c r="J123" s="120">
        <f t="shared" si="19"/>
        <v>8.1037913417585372</v>
      </c>
      <c r="L123" s="74">
        <f t="shared" si="16"/>
        <v>10000</v>
      </c>
      <c r="M123" s="79">
        <f t="shared" si="17"/>
        <v>59504</v>
      </c>
      <c r="N123" s="74">
        <f t="shared" si="18"/>
        <v>4822.08</v>
      </c>
    </row>
    <row r="124" spans="1:14" x14ac:dyDescent="0.2">
      <c r="A124" s="147">
        <v>120</v>
      </c>
      <c r="B124" s="65" t="s">
        <v>144</v>
      </c>
      <c r="C124" s="18">
        <v>6300000000</v>
      </c>
      <c r="D124" s="57"/>
      <c r="E124" s="57"/>
      <c r="F124" s="104">
        <f t="shared" ref="F124:H128" si="29">F125</f>
        <v>22</v>
      </c>
      <c r="G124" s="104">
        <f t="shared" si="29"/>
        <v>40</v>
      </c>
      <c r="H124" s="104">
        <f t="shared" si="29"/>
        <v>39.44</v>
      </c>
      <c r="I124" s="73">
        <f t="shared" si="15"/>
        <v>0.56000000000000227</v>
      </c>
      <c r="J124" s="120">
        <f t="shared" si="19"/>
        <v>98.6</v>
      </c>
      <c r="L124" s="74">
        <f t="shared" si="16"/>
        <v>22000</v>
      </c>
      <c r="M124" s="79">
        <f t="shared" si="17"/>
        <v>40000</v>
      </c>
      <c r="N124" s="74">
        <f t="shared" si="18"/>
        <v>39440</v>
      </c>
    </row>
    <row r="125" spans="1:14" ht="38.25" x14ac:dyDescent="0.2">
      <c r="A125" s="147">
        <v>121</v>
      </c>
      <c r="B125" s="105" t="s">
        <v>307</v>
      </c>
      <c r="C125" s="35" t="s">
        <v>308</v>
      </c>
      <c r="D125" s="57"/>
      <c r="E125" s="57"/>
      <c r="F125" s="104">
        <f t="shared" si="29"/>
        <v>22</v>
      </c>
      <c r="G125" s="153">
        <f t="shared" si="29"/>
        <v>40</v>
      </c>
      <c r="H125" s="153">
        <f t="shared" si="29"/>
        <v>39.44</v>
      </c>
      <c r="I125" s="73">
        <f t="shared" si="15"/>
        <v>0.56000000000000227</v>
      </c>
      <c r="J125" s="120">
        <f t="shared" si="19"/>
        <v>98.6</v>
      </c>
      <c r="L125" s="74">
        <f t="shared" si="16"/>
        <v>22000</v>
      </c>
      <c r="M125" s="79">
        <f t="shared" si="17"/>
        <v>40000</v>
      </c>
      <c r="N125" s="74">
        <f t="shared" si="18"/>
        <v>39440</v>
      </c>
    </row>
    <row r="126" spans="1:14" x14ac:dyDescent="0.2">
      <c r="A126" s="147">
        <v>122</v>
      </c>
      <c r="B126" s="155" t="s">
        <v>71</v>
      </c>
      <c r="C126" s="35" t="s">
        <v>232</v>
      </c>
      <c r="D126" s="57" t="s">
        <v>72</v>
      </c>
      <c r="E126" s="57"/>
      <c r="F126" s="104">
        <f t="shared" si="29"/>
        <v>22</v>
      </c>
      <c r="G126" s="153">
        <f t="shared" si="29"/>
        <v>40</v>
      </c>
      <c r="H126" s="153">
        <f t="shared" si="29"/>
        <v>39.44</v>
      </c>
      <c r="I126" s="73">
        <f t="shared" si="15"/>
        <v>0.56000000000000227</v>
      </c>
      <c r="J126" s="120">
        <f t="shared" si="19"/>
        <v>98.6</v>
      </c>
      <c r="L126" s="74">
        <f t="shared" si="16"/>
        <v>22000</v>
      </c>
      <c r="M126" s="79">
        <f t="shared" si="17"/>
        <v>40000</v>
      </c>
      <c r="N126" s="74">
        <f t="shared" si="18"/>
        <v>39440</v>
      </c>
    </row>
    <row r="127" spans="1:14" ht="25.5" x14ac:dyDescent="0.2">
      <c r="A127" s="147">
        <v>123</v>
      </c>
      <c r="B127" s="155" t="s">
        <v>156</v>
      </c>
      <c r="C127" s="152">
        <v>6300080220</v>
      </c>
      <c r="D127" s="57" t="s">
        <v>73</v>
      </c>
      <c r="E127" s="57"/>
      <c r="F127" s="104">
        <f t="shared" si="29"/>
        <v>22</v>
      </c>
      <c r="G127" s="104">
        <f t="shared" si="29"/>
        <v>40</v>
      </c>
      <c r="H127" s="104">
        <f t="shared" si="29"/>
        <v>39.44</v>
      </c>
      <c r="I127" s="73">
        <f t="shared" si="15"/>
        <v>0.56000000000000227</v>
      </c>
      <c r="J127" s="120">
        <f t="shared" si="19"/>
        <v>98.6</v>
      </c>
      <c r="L127" s="74">
        <f t="shared" si="16"/>
        <v>22000</v>
      </c>
      <c r="M127" s="79">
        <f t="shared" si="17"/>
        <v>40000</v>
      </c>
      <c r="N127" s="74">
        <f t="shared" si="18"/>
        <v>39440</v>
      </c>
    </row>
    <row r="128" spans="1:14" ht="25.5" x14ac:dyDescent="0.2">
      <c r="A128" s="147">
        <v>124</v>
      </c>
      <c r="B128" s="101" t="s">
        <v>185</v>
      </c>
      <c r="C128" s="35" t="s">
        <v>232</v>
      </c>
      <c r="D128" s="103" t="s">
        <v>73</v>
      </c>
      <c r="E128" s="103" t="s">
        <v>194</v>
      </c>
      <c r="F128" s="106">
        <f t="shared" si="29"/>
        <v>22</v>
      </c>
      <c r="G128" s="106">
        <f t="shared" si="29"/>
        <v>40</v>
      </c>
      <c r="H128" s="106">
        <f t="shared" si="29"/>
        <v>39.44</v>
      </c>
      <c r="I128" s="73">
        <f t="shared" si="15"/>
        <v>0.56000000000000227</v>
      </c>
      <c r="J128" s="120">
        <f t="shared" si="19"/>
        <v>98.6</v>
      </c>
      <c r="L128" s="74">
        <f t="shared" si="16"/>
        <v>22000</v>
      </c>
      <c r="M128" s="79">
        <f t="shared" si="17"/>
        <v>40000</v>
      </c>
      <c r="N128" s="74">
        <f t="shared" si="18"/>
        <v>39440</v>
      </c>
    </row>
    <row r="129" spans="1:14" ht="25.5" x14ac:dyDescent="0.2">
      <c r="A129" s="147">
        <v>125</v>
      </c>
      <c r="B129" s="101" t="s">
        <v>230</v>
      </c>
      <c r="C129" s="35" t="s">
        <v>232</v>
      </c>
      <c r="D129" s="103" t="s">
        <v>73</v>
      </c>
      <c r="E129" s="103" t="s">
        <v>231</v>
      </c>
      <c r="F129" s="106">
        <v>22</v>
      </c>
      <c r="G129" s="157">
        <v>40</v>
      </c>
      <c r="H129" s="157">
        <v>39.44</v>
      </c>
      <c r="I129" s="73">
        <f t="shared" si="15"/>
        <v>0.56000000000000227</v>
      </c>
      <c r="J129" s="120">
        <f t="shared" si="19"/>
        <v>98.6</v>
      </c>
      <c r="L129" s="74">
        <f t="shared" si="16"/>
        <v>22000</v>
      </c>
      <c r="M129" s="79">
        <f t="shared" si="17"/>
        <v>40000</v>
      </c>
      <c r="N129" s="74">
        <f t="shared" si="18"/>
        <v>39440</v>
      </c>
    </row>
    <row r="130" spans="1:14" x14ac:dyDescent="0.2">
      <c r="A130" s="147">
        <v>133</v>
      </c>
      <c r="B130" s="65" t="s">
        <v>144</v>
      </c>
      <c r="C130" s="18">
        <v>6400000000</v>
      </c>
      <c r="D130" s="107"/>
      <c r="E130" s="107"/>
      <c r="F130" s="104">
        <f>F131+F140+F136</f>
        <v>157.702</v>
      </c>
      <c r="G130" s="104">
        <f>G131+G140+G136</f>
        <v>539.93071999999995</v>
      </c>
      <c r="H130" s="104">
        <f>H131+H140+H136</f>
        <v>356.28672</v>
      </c>
      <c r="I130" s="73">
        <f t="shared" si="15"/>
        <v>183.64399999999995</v>
      </c>
      <c r="J130" s="120">
        <f t="shared" si="19"/>
        <v>65.987488172556667</v>
      </c>
      <c r="L130" s="74">
        <f t="shared" ref="L130:L161" si="30">F130*1000</f>
        <v>157702</v>
      </c>
      <c r="M130" s="79">
        <f t="shared" ref="M130:M161" si="31">G130*1000</f>
        <v>539930.72</v>
      </c>
      <c r="N130" s="74">
        <f t="shared" ref="N130:N161" si="32">H130*1000</f>
        <v>356286.72000000003</v>
      </c>
    </row>
    <row r="131" spans="1:14" ht="25.5" x14ac:dyDescent="0.2">
      <c r="A131" s="147">
        <v>134</v>
      </c>
      <c r="B131" s="105" t="s">
        <v>428</v>
      </c>
      <c r="C131" s="35" t="s">
        <v>228</v>
      </c>
      <c r="D131" s="107"/>
      <c r="E131" s="107"/>
      <c r="F131" s="104">
        <f t="shared" ref="F131:H133" si="33">F132</f>
        <v>157.702</v>
      </c>
      <c r="G131" s="104">
        <f t="shared" si="33"/>
        <v>157.702</v>
      </c>
      <c r="H131" s="104">
        <f t="shared" si="33"/>
        <v>74.400000000000006</v>
      </c>
      <c r="I131" s="73">
        <f t="shared" ref="I131:I158" si="34">G131-H131</f>
        <v>83.301999999999992</v>
      </c>
      <c r="J131" s="120">
        <f t="shared" si="19"/>
        <v>47.177588109218654</v>
      </c>
      <c r="L131" s="74">
        <f t="shared" si="30"/>
        <v>157702</v>
      </c>
      <c r="M131" s="79">
        <f t="shared" si="31"/>
        <v>157702</v>
      </c>
      <c r="N131" s="74">
        <f t="shared" si="32"/>
        <v>74400</v>
      </c>
    </row>
    <row r="132" spans="1:14" x14ac:dyDescent="0.2">
      <c r="A132" s="147">
        <v>135</v>
      </c>
      <c r="B132" s="155" t="s">
        <v>71</v>
      </c>
      <c r="C132" s="35" t="s">
        <v>261</v>
      </c>
      <c r="D132" s="107" t="s">
        <v>72</v>
      </c>
      <c r="E132" s="107"/>
      <c r="F132" s="104">
        <f t="shared" si="33"/>
        <v>157.702</v>
      </c>
      <c r="G132" s="104">
        <f t="shared" si="33"/>
        <v>157.702</v>
      </c>
      <c r="H132" s="104">
        <f t="shared" si="33"/>
        <v>74.400000000000006</v>
      </c>
      <c r="I132" s="73">
        <f t="shared" si="34"/>
        <v>83.301999999999992</v>
      </c>
      <c r="J132" s="120">
        <f t="shared" ref="J132:J156" si="35">H132/G132*100</f>
        <v>47.177588109218654</v>
      </c>
      <c r="L132" s="74">
        <f t="shared" si="30"/>
        <v>157702</v>
      </c>
      <c r="M132" s="79">
        <f t="shared" si="31"/>
        <v>157702</v>
      </c>
      <c r="N132" s="74">
        <f t="shared" si="32"/>
        <v>74400</v>
      </c>
    </row>
    <row r="133" spans="1:14" ht="25.5" x14ac:dyDescent="0.2">
      <c r="A133" s="147">
        <v>136</v>
      </c>
      <c r="B133" s="155" t="s">
        <v>156</v>
      </c>
      <c r="C133" s="35" t="s">
        <v>261</v>
      </c>
      <c r="D133" s="107" t="s">
        <v>73</v>
      </c>
      <c r="E133" s="107"/>
      <c r="F133" s="104">
        <f t="shared" si="33"/>
        <v>157.702</v>
      </c>
      <c r="G133" s="104">
        <f t="shared" si="33"/>
        <v>157.702</v>
      </c>
      <c r="H133" s="104">
        <f t="shared" si="33"/>
        <v>74.400000000000006</v>
      </c>
      <c r="I133" s="73">
        <f t="shared" si="34"/>
        <v>83.301999999999992</v>
      </c>
      <c r="J133" s="120">
        <f t="shared" si="35"/>
        <v>47.177588109218654</v>
      </c>
      <c r="L133" s="74">
        <f t="shared" si="30"/>
        <v>157702</v>
      </c>
      <c r="M133" s="79">
        <f t="shared" si="31"/>
        <v>157702</v>
      </c>
      <c r="N133" s="74">
        <f t="shared" si="32"/>
        <v>74400</v>
      </c>
    </row>
    <row r="134" spans="1:14" x14ac:dyDescent="0.2">
      <c r="A134" s="147">
        <v>137</v>
      </c>
      <c r="B134" s="108" t="s">
        <v>151</v>
      </c>
      <c r="C134" s="35" t="s">
        <v>261</v>
      </c>
      <c r="D134" s="109" t="s">
        <v>73</v>
      </c>
      <c r="E134" s="109" t="s">
        <v>30</v>
      </c>
      <c r="F134" s="106">
        <f>F135</f>
        <v>157.702</v>
      </c>
      <c r="G134" s="153">
        <f>SUM(G135)</f>
        <v>157.702</v>
      </c>
      <c r="H134" s="153">
        <f>SUM(H135)</f>
        <v>74.400000000000006</v>
      </c>
      <c r="I134" s="73">
        <f t="shared" si="34"/>
        <v>83.301999999999992</v>
      </c>
      <c r="J134" s="120">
        <f t="shared" si="35"/>
        <v>47.177588109218654</v>
      </c>
      <c r="L134" s="74">
        <f t="shared" si="30"/>
        <v>157702</v>
      </c>
      <c r="M134" s="79">
        <f t="shared" si="31"/>
        <v>157702</v>
      </c>
      <c r="N134" s="74">
        <f t="shared" si="32"/>
        <v>74400</v>
      </c>
    </row>
    <row r="135" spans="1:14" x14ac:dyDescent="0.2">
      <c r="A135" s="147">
        <v>138</v>
      </c>
      <c r="B135" s="110" t="s">
        <v>152</v>
      </c>
      <c r="C135" s="35" t="s">
        <v>261</v>
      </c>
      <c r="D135" s="109" t="s">
        <v>73</v>
      </c>
      <c r="E135" s="109" t="s">
        <v>31</v>
      </c>
      <c r="F135" s="106">
        <v>157.702</v>
      </c>
      <c r="G135" s="106">
        <v>157.702</v>
      </c>
      <c r="H135" s="106">
        <v>74.400000000000006</v>
      </c>
      <c r="I135" s="73">
        <f t="shared" si="34"/>
        <v>83.301999999999992</v>
      </c>
      <c r="J135" s="120">
        <f t="shared" si="35"/>
        <v>47.177588109218654</v>
      </c>
      <c r="L135" s="74">
        <f t="shared" si="30"/>
        <v>157702</v>
      </c>
      <c r="M135" s="79">
        <f t="shared" si="31"/>
        <v>157702</v>
      </c>
      <c r="N135" s="74">
        <f t="shared" si="32"/>
        <v>74400</v>
      </c>
    </row>
    <row r="136" spans="1:14" ht="16.5" customHeight="1" x14ac:dyDescent="0.2">
      <c r="A136" s="147"/>
      <c r="B136" s="155" t="s">
        <v>71</v>
      </c>
      <c r="C136" s="35" t="s">
        <v>483</v>
      </c>
      <c r="D136" s="107" t="s">
        <v>72</v>
      </c>
      <c r="E136" s="107"/>
      <c r="F136" s="104">
        <f t="shared" ref="F136:H137" si="36">F137</f>
        <v>0</v>
      </c>
      <c r="G136" s="104">
        <f t="shared" si="36"/>
        <v>225.583</v>
      </c>
      <c r="H136" s="104">
        <f t="shared" si="36"/>
        <v>125.241</v>
      </c>
      <c r="I136" s="73">
        <f>G136-H136</f>
        <v>100.342</v>
      </c>
      <c r="J136" s="120">
        <f t="shared" ref="J136:J144" si="37">H136/G136*100</f>
        <v>55.518811257940534</v>
      </c>
      <c r="L136" s="74"/>
      <c r="M136" s="79"/>
      <c r="N136" s="74"/>
    </row>
    <row r="137" spans="1:14" ht="25.5" x14ac:dyDescent="0.2">
      <c r="A137" s="147"/>
      <c r="B137" s="155" t="s">
        <v>156</v>
      </c>
      <c r="C137" s="35" t="s">
        <v>483</v>
      </c>
      <c r="D137" s="107" t="s">
        <v>73</v>
      </c>
      <c r="E137" s="107"/>
      <c r="F137" s="104">
        <f t="shared" si="36"/>
        <v>0</v>
      </c>
      <c r="G137" s="104">
        <f t="shared" si="36"/>
        <v>225.583</v>
      </c>
      <c r="H137" s="104">
        <f t="shared" si="36"/>
        <v>125.241</v>
      </c>
      <c r="I137" s="73">
        <f>G137-H137</f>
        <v>100.342</v>
      </c>
      <c r="J137" s="120">
        <f t="shared" si="37"/>
        <v>55.518811257940534</v>
      </c>
      <c r="L137" s="74"/>
      <c r="M137" s="79"/>
      <c r="N137" s="74"/>
    </row>
    <row r="138" spans="1:14" x14ac:dyDescent="0.2">
      <c r="A138" s="147"/>
      <c r="B138" s="108" t="s">
        <v>151</v>
      </c>
      <c r="C138" s="35" t="s">
        <v>483</v>
      </c>
      <c r="D138" s="109" t="s">
        <v>73</v>
      </c>
      <c r="E138" s="109" t="s">
        <v>30</v>
      </c>
      <c r="F138" s="106">
        <f>F139</f>
        <v>0</v>
      </c>
      <c r="G138" s="153">
        <f>SUM(G139)</f>
        <v>225.583</v>
      </c>
      <c r="H138" s="153">
        <f>SUM(H139)</f>
        <v>125.241</v>
      </c>
      <c r="I138" s="73">
        <f>G138-H138</f>
        <v>100.342</v>
      </c>
      <c r="J138" s="120">
        <f t="shared" si="37"/>
        <v>55.518811257940534</v>
      </c>
      <c r="L138" s="74"/>
      <c r="M138" s="79"/>
      <c r="N138" s="74"/>
    </row>
    <row r="139" spans="1:14" x14ac:dyDescent="0.2">
      <c r="A139" s="147"/>
      <c r="B139" s="110" t="s">
        <v>152</v>
      </c>
      <c r="C139" s="35" t="s">
        <v>483</v>
      </c>
      <c r="D139" s="109" t="s">
        <v>73</v>
      </c>
      <c r="E139" s="109" t="s">
        <v>31</v>
      </c>
      <c r="F139" s="106">
        <v>0</v>
      </c>
      <c r="G139" s="106">
        <v>225.583</v>
      </c>
      <c r="H139" s="106">
        <v>125.241</v>
      </c>
      <c r="I139" s="73">
        <f>G139-H139</f>
        <v>100.342</v>
      </c>
      <c r="J139" s="120">
        <f t="shared" si="37"/>
        <v>55.518811257940534</v>
      </c>
      <c r="L139" s="74"/>
      <c r="M139" s="79"/>
      <c r="N139" s="74"/>
    </row>
    <row r="140" spans="1:14" ht="25.5" x14ac:dyDescent="0.2">
      <c r="A140" s="147">
        <v>149</v>
      </c>
      <c r="B140" s="105" t="s">
        <v>428</v>
      </c>
      <c r="C140" s="35" t="s">
        <v>190</v>
      </c>
      <c r="D140" s="109"/>
      <c r="E140" s="109"/>
      <c r="F140" s="106">
        <f t="shared" ref="F140:I143" si="38">F141</f>
        <v>0</v>
      </c>
      <c r="G140" s="106">
        <f t="shared" si="38"/>
        <v>156.64572000000001</v>
      </c>
      <c r="H140" s="106">
        <f t="shared" si="38"/>
        <v>156.64572000000001</v>
      </c>
      <c r="I140" s="106">
        <f t="shared" si="38"/>
        <v>156.64572000000001</v>
      </c>
      <c r="J140" s="120">
        <f t="shared" si="37"/>
        <v>100</v>
      </c>
      <c r="L140" s="74">
        <f t="shared" si="30"/>
        <v>0</v>
      </c>
      <c r="M140" s="79">
        <f t="shared" si="31"/>
        <v>156645.72</v>
      </c>
      <c r="N140" s="74">
        <f t="shared" si="32"/>
        <v>156645.72</v>
      </c>
    </row>
    <row r="141" spans="1:14" x14ac:dyDescent="0.2">
      <c r="A141" s="147">
        <v>150</v>
      </c>
      <c r="B141" s="155" t="s">
        <v>71</v>
      </c>
      <c r="C141" s="35" t="s">
        <v>190</v>
      </c>
      <c r="D141" s="109" t="s">
        <v>72</v>
      </c>
      <c r="E141" s="109"/>
      <c r="F141" s="106">
        <f t="shared" si="38"/>
        <v>0</v>
      </c>
      <c r="G141" s="106">
        <f t="shared" si="38"/>
        <v>156.64572000000001</v>
      </c>
      <c r="H141" s="106">
        <f t="shared" si="38"/>
        <v>156.64572000000001</v>
      </c>
      <c r="I141" s="106">
        <f t="shared" si="38"/>
        <v>156.64572000000001</v>
      </c>
      <c r="J141" s="120">
        <f t="shared" si="37"/>
        <v>100</v>
      </c>
      <c r="L141" s="74">
        <f t="shared" si="30"/>
        <v>0</v>
      </c>
      <c r="M141" s="79">
        <f t="shared" si="31"/>
        <v>156645.72</v>
      </c>
      <c r="N141" s="74">
        <f t="shared" si="32"/>
        <v>156645.72</v>
      </c>
    </row>
    <row r="142" spans="1:14" ht="25.5" x14ac:dyDescent="0.2">
      <c r="A142" s="147">
        <v>151</v>
      </c>
      <c r="B142" s="155" t="s">
        <v>156</v>
      </c>
      <c r="C142" s="35" t="s">
        <v>190</v>
      </c>
      <c r="D142" s="109" t="s">
        <v>73</v>
      </c>
      <c r="E142" s="109"/>
      <c r="F142" s="106">
        <f t="shared" si="38"/>
        <v>0</v>
      </c>
      <c r="G142" s="106">
        <f t="shared" si="38"/>
        <v>156.64572000000001</v>
      </c>
      <c r="H142" s="106">
        <f t="shared" si="38"/>
        <v>156.64572000000001</v>
      </c>
      <c r="I142" s="106">
        <f t="shared" si="38"/>
        <v>156.64572000000001</v>
      </c>
      <c r="J142" s="120">
        <f t="shared" si="37"/>
        <v>100</v>
      </c>
      <c r="L142" s="74">
        <f t="shared" si="30"/>
        <v>0</v>
      </c>
      <c r="M142" s="79">
        <f t="shared" si="31"/>
        <v>156645.72</v>
      </c>
      <c r="N142" s="74">
        <f t="shared" si="32"/>
        <v>156645.72</v>
      </c>
    </row>
    <row r="143" spans="1:14" x14ac:dyDescent="0.2">
      <c r="A143" s="147">
        <v>152</v>
      </c>
      <c r="B143" s="108" t="s">
        <v>151</v>
      </c>
      <c r="C143" s="35" t="s">
        <v>190</v>
      </c>
      <c r="D143" s="109" t="s">
        <v>73</v>
      </c>
      <c r="E143" s="109" t="s">
        <v>30</v>
      </c>
      <c r="F143" s="106">
        <f t="shared" si="38"/>
        <v>0</v>
      </c>
      <c r="G143" s="106">
        <f t="shared" si="38"/>
        <v>156.64572000000001</v>
      </c>
      <c r="H143" s="106">
        <f t="shared" si="38"/>
        <v>156.64572000000001</v>
      </c>
      <c r="I143" s="106">
        <f t="shared" si="38"/>
        <v>156.64572000000001</v>
      </c>
      <c r="J143" s="120">
        <f t="shared" si="37"/>
        <v>100</v>
      </c>
      <c r="L143" s="74">
        <f t="shared" si="30"/>
        <v>0</v>
      </c>
      <c r="M143" s="79">
        <f t="shared" si="31"/>
        <v>156645.72</v>
      </c>
      <c r="N143" s="74">
        <f t="shared" si="32"/>
        <v>156645.72</v>
      </c>
    </row>
    <row r="144" spans="1:14" x14ac:dyDescent="0.2">
      <c r="A144" s="147">
        <v>153</v>
      </c>
      <c r="B144" s="108" t="s">
        <v>439</v>
      </c>
      <c r="C144" s="35" t="s">
        <v>190</v>
      </c>
      <c r="D144" s="109" t="s">
        <v>73</v>
      </c>
      <c r="E144" s="109" t="s">
        <v>107</v>
      </c>
      <c r="F144" s="106">
        <v>0</v>
      </c>
      <c r="G144" s="106">
        <v>156.64572000000001</v>
      </c>
      <c r="H144" s="106">
        <v>156.64572000000001</v>
      </c>
      <c r="I144" s="73">
        <v>156.64572000000001</v>
      </c>
      <c r="J144" s="120">
        <f t="shared" si="37"/>
        <v>100</v>
      </c>
      <c r="L144" s="74">
        <f t="shared" si="30"/>
        <v>0</v>
      </c>
      <c r="M144" s="79">
        <f t="shared" si="31"/>
        <v>156645.72</v>
      </c>
      <c r="N144" s="74">
        <f t="shared" si="32"/>
        <v>156645.72</v>
      </c>
    </row>
    <row r="145" spans="1:14" ht="38.25" x14ac:dyDescent="0.2">
      <c r="A145" s="147">
        <v>154</v>
      </c>
      <c r="B145" s="71" t="s">
        <v>212</v>
      </c>
      <c r="C145" s="152" t="s">
        <v>213</v>
      </c>
      <c r="D145" s="57"/>
      <c r="E145" s="57"/>
      <c r="F145" s="153">
        <f>F146</f>
        <v>1</v>
      </c>
      <c r="G145" s="153">
        <f t="shared" ref="G145:H149" si="39">G146</f>
        <v>1</v>
      </c>
      <c r="H145" s="153">
        <f t="shared" si="39"/>
        <v>1</v>
      </c>
      <c r="I145" s="73">
        <f t="shared" si="34"/>
        <v>0</v>
      </c>
      <c r="J145" s="120">
        <f t="shared" si="35"/>
        <v>100</v>
      </c>
      <c r="L145" s="74">
        <f t="shared" si="30"/>
        <v>1000</v>
      </c>
      <c r="M145" s="79">
        <f t="shared" si="31"/>
        <v>1000</v>
      </c>
      <c r="N145" s="74">
        <f t="shared" si="32"/>
        <v>1000</v>
      </c>
    </row>
    <row r="146" spans="1:14" x14ac:dyDescent="0.2">
      <c r="A146" s="147">
        <v>155</v>
      </c>
      <c r="B146" s="151" t="s">
        <v>214</v>
      </c>
      <c r="C146" s="152">
        <v>6400080000</v>
      </c>
      <c r="D146" s="57"/>
      <c r="E146" s="57"/>
      <c r="F146" s="153">
        <f>F147</f>
        <v>1</v>
      </c>
      <c r="G146" s="153">
        <f t="shared" si="39"/>
        <v>1</v>
      </c>
      <c r="H146" s="153">
        <f t="shared" si="39"/>
        <v>1</v>
      </c>
      <c r="I146" s="73">
        <f t="shared" si="34"/>
        <v>0</v>
      </c>
      <c r="J146" s="120">
        <f t="shared" si="35"/>
        <v>100</v>
      </c>
      <c r="L146" s="74">
        <f t="shared" si="30"/>
        <v>1000</v>
      </c>
      <c r="M146" s="79">
        <f t="shared" si="31"/>
        <v>1000</v>
      </c>
      <c r="N146" s="74">
        <f t="shared" si="32"/>
        <v>1000</v>
      </c>
    </row>
    <row r="147" spans="1:14" ht="38.25" x14ac:dyDescent="0.2">
      <c r="A147" s="147">
        <v>156</v>
      </c>
      <c r="B147" s="151" t="s">
        <v>215</v>
      </c>
      <c r="C147" s="152">
        <v>6400087000</v>
      </c>
      <c r="D147" s="152">
        <v>500</v>
      </c>
      <c r="E147" s="57"/>
      <c r="F147" s="153">
        <f>F148</f>
        <v>1</v>
      </c>
      <c r="G147" s="153">
        <f t="shared" si="39"/>
        <v>1</v>
      </c>
      <c r="H147" s="153">
        <f t="shared" si="39"/>
        <v>1</v>
      </c>
      <c r="I147" s="73">
        <f t="shared" si="34"/>
        <v>0</v>
      </c>
      <c r="J147" s="120">
        <f t="shared" si="35"/>
        <v>100</v>
      </c>
      <c r="L147" s="74">
        <f t="shared" si="30"/>
        <v>1000</v>
      </c>
      <c r="M147" s="79">
        <f t="shared" si="31"/>
        <v>1000</v>
      </c>
      <c r="N147" s="74">
        <f t="shared" si="32"/>
        <v>1000</v>
      </c>
    </row>
    <row r="148" spans="1:14" x14ac:dyDescent="0.2">
      <c r="A148" s="147">
        <v>157</v>
      </c>
      <c r="B148" s="151" t="s">
        <v>216</v>
      </c>
      <c r="C148" s="152">
        <v>6400087000</v>
      </c>
      <c r="D148" s="152">
        <v>540</v>
      </c>
      <c r="E148" s="57"/>
      <c r="F148" s="153">
        <f>F149</f>
        <v>1</v>
      </c>
      <c r="G148" s="153">
        <f t="shared" si="39"/>
        <v>1</v>
      </c>
      <c r="H148" s="153">
        <f t="shared" si="39"/>
        <v>1</v>
      </c>
      <c r="I148" s="73">
        <f t="shared" si="34"/>
        <v>0</v>
      </c>
      <c r="J148" s="120">
        <f t="shared" si="35"/>
        <v>100</v>
      </c>
      <c r="L148" s="74">
        <f t="shared" si="30"/>
        <v>1000</v>
      </c>
      <c r="M148" s="79">
        <f t="shared" si="31"/>
        <v>1000</v>
      </c>
      <c r="N148" s="74">
        <f t="shared" si="32"/>
        <v>1000</v>
      </c>
    </row>
    <row r="149" spans="1:14" x14ac:dyDescent="0.2">
      <c r="A149" s="147">
        <v>158</v>
      </c>
      <c r="B149" s="158" t="s">
        <v>153</v>
      </c>
      <c r="C149" s="152">
        <v>6400087000</v>
      </c>
      <c r="D149" s="152">
        <v>540</v>
      </c>
      <c r="E149" s="57" t="s">
        <v>225</v>
      </c>
      <c r="F149" s="153">
        <f>F150</f>
        <v>1</v>
      </c>
      <c r="G149" s="153">
        <f t="shared" si="39"/>
        <v>1</v>
      </c>
      <c r="H149" s="153">
        <f t="shared" si="39"/>
        <v>1</v>
      </c>
      <c r="I149" s="73">
        <f t="shared" si="34"/>
        <v>0</v>
      </c>
      <c r="J149" s="120">
        <f t="shared" si="35"/>
        <v>100</v>
      </c>
      <c r="L149" s="74">
        <f t="shared" si="30"/>
        <v>1000</v>
      </c>
      <c r="M149" s="79">
        <f t="shared" si="31"/>
        <v>1000</v>
      </c>
      <c r="N149" s="74">
        <f t="shared" si="32"/>
        <v>1000</v>
      </c>
    </row>
    <row r="150" spans="1:14" x14ac:dyDescent="0.2">
      <c r="A150" s="147">
        <v>159</v>
      </c>
      <c r="B150" s="158" t="s">
        <v>211</v>
      </c>
      <c r="C150" s="152">
        <v>6400087000</v>
      </c>
      <c r="D150" s="57" t="s">
        <v>80</v>
      </c>
      <c r="E150" s="57" t="s">
        <v>28</v>
      </c>
      <c r="F150" s="153">
        <v>1</v>
      </c>
      <c r="G150" s="153">
        <v>1</v>
      </c>
      <c r="H150" s="153">
        <v>1</v>
      </c>
      <c r="I150" s="73">
        <f t="shared" si="34"/>
        <v>0</v>
      </c>
      <c r="J150" s="120">
        <f t="shared" si="35"/>
        <v>100</v>
      </c>
      <c r="L150" s="74">
        <f t="shared" si="30"/>
        <v>1000</v>
      </c>
      <c r="M150" s="79">
        <f t="shared" si="31"/>
        <v>1000</v>
      </c>
      <c r="N150" s="74">
        <f t="shared" si="32"/>
        <v>1000</v>
      </c>
    </row>
    <row r="151" spans="1:14" x14ac:dyDescent="0.2">
      <c r="A151" s="147">
        <v>160</v>
      </c>
      <c r="B151" s="65" t="s">
        <v>144</v>
      </c>
      <c r="C151" s="18">
        <v>6300000000</v>
      </c>
      <c r="D151" s="40"/>
      <c r="E151" s="40"/>
      <c r="F151" s="67">
        <f>F152</f>
        <v>62.231999999999999</v>
      </c>
      <c r="G151" s="153">
        <f t="shared" ref="G151:H160" si="40">G152</f>
        <v>62.231999999999999</v>
      </c>
      <c r="H151" s="153">
        <f t="shared" si="40"/>
        <v>40</v>
      </c>
      <c r="I151" s="73">
        <f t="shared" si="34"/>
        <v>22.231999999999999</v>
      </c>
      <c r="J151" s="120">
        <f t="shared" si="35"/>
        <v>64.2756138321121</v>
      </c>
      <c r="L151" s="74">
        <f t="shared" si="30"/>
        <v>62232</v>
      </c>
      <c r="M151" s="79">
        <f t="shared" si="31"/>
        <v>62232</v>
      </c>
      <c r="N151" s="74">
        <f t="shared" si="32"/>
        <v>40000</v>
      </c>
    </row>
    <row r="152" spans="1:14" ht="25.5" x14ac:dyDescent="0.2">
      <c r="A152" s="147">
        <v>161</v>
      </c>
      <c r="B152" s="151" t="s">
        <v>235</v>
      </c>
      <c r="C152" s="152">
        <v>6300080000</v>
      </c>
      <c r="D152" s="57"/>
      <c r="E152" s="57"/>
      <c r="F152" s="67">
        <f>F153</f>
        <v>62.231999999999999</v>
      </c>
      <c r="G152" s="153">
        <f t="shared" si="40"/>
        <v>62.231999999999999</v>
      </c>
      <c r="H152" s="153">
        <f t="shared" si="40"/>
        <v>40</v>
      </c>
      <c r="I152" s="73">
        <f t="shared" si="34"/>
        <v>22.231999999999999</v>
      </c>
      <c r="J152" s="120">
        <f t="shared" si="35"/>
        <v>64.2756138321121</v>
      </c>
      <c r="L152" s="74">
        <f t="shared" si="30"/>
        <v>62232</v>
      </c>
      <c r="M152" s="79">
        <f t="shared" si="31"/>
        <v>62232</v>
      </c>
      <c r="N152" s="74">
        <f t="shared" si="32"/>
        <v>40000</v>
      </c>
    </row>
    <row r="153" spans="1:14" x14ac:dyDescent="0.2">
      <c r="A153" s="147">
        <v>162</v>
      </c>
      <c r="B153" s="151" t="s">
        <v>236</v>
      </c>
      <c r="C153" s="152">
        <v>6300080230</v>
      </c>
      <c r="D153" s="57" t="s">
        <v>191</v>
      </c>
      <c r="E153" s="57"/>
      <c r="F153" s="67">
        <f>F154</f>
        <v>62.231999999999999</v>
      </c>
      <c r="G153" s="153">
        <f t="shared" si="40"/>
        <v>62.231999999999999</v>
      </c>
      <c r="H153" s="153">
        <f t="shared" si="40"/>
        <v>40</v>
      </c>
      <c r="I153" s="73">
        <f t="shared" si="34"/>
        <v>22.231999999999999</v>
      </c>
      <c r="J153" s="120">
        <f t="shared" si="35"/>
        <v>64.2756138321121</v>
      </c>
      <c r="L153" s="74">
        <f t="shared" si="30"/>
        <v>62232</v>
      </c>
      <c r="M153" s="79">
        <f t="shared" si="31"/>
        <v>62232</v>
      </c>
      <c r="N153" s="74">
        <f t="shared" si="32"/>
        <v>40000</v>
      </c>
    </row>
    <row r="154" spans="1:14" x14ac:dyDescent="0.2">
      <c r="A154" s="147">
        <v>163</v>
      </c>
      <c r="B154" s="151" t="s">
        <v>237</v>
      </c>
      <c r="C154" s="152">
        <v>6300080230</v>
      </c>
      <c r="D154" s="57" t="s">
        <v>49</v>
      </c>
      <c r="E154" s="57"/>
      <c r="F154" s="67">
        <f>F155</f>
        <v>62.231999999999999</v>
      </c>
      <c r="G154" s="67">
        <f t="shared" si="40"/>
        <v>62.231999999999999</v>
      </c>
      <c r="H154" s="67">
        <f t="shared" si="40"/>
        <v>40</v>
      </c>
      <c r="I154" s="73">
        <f t="shared" si="34"/>
        <v>22.231999999999999</v>
      </c>
      <c r="J154" s="120">
        <f t="shared" si="35"/>
        <v>64.2756138321121</v>
      </c>
      <c r="L154" s="74">
        <f t="shared" si="30"/>
        <v>62232</v>
      </c>
      <c r="M154" s="79">
        <f t="shared" si="31"/>
        <v>62232</v>
      </c>
      <c r="N154" s="74">
        <f t="shared" si="32"/>
        <v>40000</v>
      </c>
    </row>
    <row r="155" spans="1:14" x14ac:dyDescent="0.2">
      <c r="A155" s="147">
        <v>164</v>
      </c>
      <c r="B155" s="58" t="s">
        <v>238</v>
      </c>
      <c r="C155" s="152">
        <v>6300080230</v>
      </c>
      <c r="D155" s="57" t="s">
        <v>49</v>
      </c>
      <c r="E155" s="57" t="s">
        <v>124</v>
      </c>
      <c r="F155" s="67">
        <f>F156</f>
        <v>62.231999999999999</v>
      </c>
      <c r="G155" s="153">
        <f t="shared" si="40"/>
        <v>62.231999999999999</v>
      </c>
      <c r="H155" s="153">
        <f t="shared" si="40"/>
        <v>40</v>
      </c>
      <c r="I155" s="73">
        <f t="shared" si="34"/>
        <v>22.231999999999999</v>
      </c>
      <c r="J155" s="120">
        <f t="shared" si="35"/>
        <v>64.2756138321121</v>
      </c>
      <c r="L155" s="74">
        <f t="shared" si="30"/>
        <v>62232</v>
      </c>
      <c r="M155" s="79">
        <f t="shared" si="31"/>
        <v>62232</v>
      </c>
      <c r="N155" s="74">
        <f t="shared" si="32"/>
        <v>40000</v>
      </c>
    </row>
    <row r="156" spans="1:14" x14ac:dyDescent="0.2">
      <c r="A156" s="147">
        <v>165</v>
      </c>
      <c r="B156" s="151" t="s">
        <v>239</v>
      </c>
      <c r="C156" s="152">
        <v>6300080230</v>
      </c>
      <c r="D156" s="57" t="s">
        <v>49</v>
      </c>
      <c r="E156" s="57" t="s">
        <v>240</v>
      </c>
      <c r="F156" s="67">
        <v>62.231999999999999</v>
      </c>
      <c r="G156" s="153">
        <v>62.231999999999999</v>
      </c>
      <c r="H156" s="153">
        <v>40</v>
      </c>
      <c r="I156" s="73">
        <f t="shared" si="34"/>
        <v>22.231999999999999</v>
      </c>
      <c r="J156" s="120">
        <f t="shared" si="35"/>
        <v>64.2756138321121</v>
      </c>
      <c r="L156" s="74">
        <f t="shared" si="30"/>
        <v>62232</v>
      </c>
      <c r="M156" s="79">
        <f t="shared" si="31"/>
        <v>62232</v>
      </c>
      <c r="N156" s="74">
        <f t="shared" si="32"/>
        <v>40000</v>
      </c>
    </row>
    <row r="157" spans="1:14" x14ac:dyDescent="0.2">
      <c r="A157" s="147">
        <v>166</v>
      </c>
      <c r="B157" s="65" t="s">
        <v>144</v>
      </c>
      <c r="C157" s="18">
        <v>6300000000</v>
      </c>
      <c r="D157" s="40"/>
      <c r="E157" s="40"/>
      <c r="F157" s="67">
        <f>F158</f>
        <v>0</v>
      </c>
      <c r="G157" s="67">
        <f>G158</f>
        <v>70</v>
      </c>
      <c r="H157" s="67">
        <f>H158</f>
        <v>70</v>
      </c>
      <c r="I157" s="73">
        <f t="shared" si="34"/>
        <v>0</v>
      </c>
      <c r="J157" s="120">
        <v>0</v>
      </c>
      <c r="L157" s="74">
        <f t="shared" si="30"/>
        <v>0</v>
      </c>
      <c r="M157" s="79">
        <f t="shared" si="31"/>
        <v>70000</v>
      </c>
      <c r="N157" s="74">
        <f t="shared" si="32"/>
        <v>70000</v>
      </c>
    </row>
    <row r="158" spans="1:14" x14ac:dyDescent="0.2">
      <c r="A158" s="147">
        <v>167</v>
      </c>
      <c r="B158" s="151" t="s">
        <v>382</v>
      </c>
      <c r="C158" s="152">
        <v>6400091190</v>
      </c>
      <c r="D158" s="57" t="s">
        <v>191</v>
      </c>
      <c r="E158" s="57"/>
      <c r="F158" s="67">
        <f>F159</f>
        <v>0</v>
      </c>
      <c r="G158" s="153">
        <f t="shared" si="40"/>
        <v>70</v>
      </c>
      <c r="H158" s="153">
        <f t="shared" si="40"/>
        <v>70</v>
      </c>
      <c r="I158" s="73">
        <f t="shared" si="34"/>
        <v>0</v>
      </c>
      <c r="J158" s="120">
        <v>0</v>
      </c>
      <c r="L158" s="74">
        <f t="shared" si="30"/>
        <v>0</v>
      </c>
      <c r="M158" s="79">
        <f t="shared" si="31"/>
        <v>70000</v>
      </c>
      <c r="N158" s="74">
        <f t="shared" si="32"/>
        <v>70000</v>
      </c>
    </row>
    <row r="159" spans="1:14" x14ac:dyDescent="0.2">
      <c r="A159" s="147">
        <v>168</v>
      </c>
      <c r="B159" s="151" t="s">
        <v>188</v>
      </c>
      <c r="C159" s="152">
        <v>6400091190</v>
      </c>
      <c r="D159" s="57" t="s">
        <v>381</v>
      </c>
      <c r="E159" s="57"/>
      <c r="F159" s="67">
        <f>F160</f>
        <v>0</v>
      </c>
      <c r="G159" s="67">
        <f t="shared" si="40"/>
        <v>70</v>
      </c>
      <c r="H159" s="67">
        <f t="shared" si="40"/>
        <v>70</v>
      </c>
      <c r="I159" s="73">
        <f>G159-H159</f>
        <v>0</v>
      </c>
      <c r="J159" s="120">
        <v>0</v>
      </c>
      <c r="L159" s="74">
        <f t="shared" si="30"/>
        <v>0</v>
      </c>
      <c r="M159" s="79">
        <f t="shared" si="31"/>
        <v>70000</v>
      </c>
      <c r="N159" s="74">
        <f t="shared" si="32"/>
        <v>70000</v>
      </c>
    </row>
    <row r="160" spans="1:14" x14ac:dyDescent="0.2">
      <c r="A160" s="147">
        <v>169</v>
      </c>
      <c r="B160" s="58" t="s">
        <v>238</v>
      </c>
      <c r="C160" s="152">
        <v>6400091190</v>
      </c>
      <c r="D160" s="57" t="s">
        <v>381</v>
      </c>
      <c r="E160" s="57" t="s">
        <v>124</v>
      </c>
      <c r="F160" s="67">
        <f>F161</f>
        <v>0</v>
      </c>
      <c r="G160" s="153">
        <f t="shared" si="40"/>
        <v>70</v>
      </c>
      <c r="H160" s="153">
        <f t="shared" si="40"/>
        <v>70</v>
      </c>
      <c r="I160" s="73">
        <f>G160-H160</f>
        <v>0</v>
      </c>
      <c r="J160" s="120">
        <v>0</v>
      </c>
      <c r="L160" s="74">
        <f t="shared" si="30"/>
        <v>0</v>
      </c>
      <c r="M160" s="79">
        <f t="shared" si="31"/>
        <v>70000</v>
      </c>
      <c r="N160" s="74">
        <f t="shared" si="32"/>
        <v>70000</v>
      </c>
    </row>
    <row r="161" spans="1:14" ht="13.5" thickBot="1" x14ac:dyDescent="0.25">
      <c r="A161" s="147">
        <v>170</v>
      </c>
      <c r="B161" s="180" t="s">
        <v>379</v>
      </c>
      <c r="C161" s="181">
        <v>6400091190</v>
      </c>
      <c r="D161" s="182" t="s">
        <v>381</v>
      </c>
      <c r="E161" s="182" t="s">
        <v>380</v>
      </c>
      <c r="F161" s="183">
        <v>0</v>
      </c>
      <c r="G161" s="184">
        <v>70</v>
      </c>
      <c r="H161" s="184">
        <v>70</v>
      </c>
      <c r="I161" s="73">
        <f>G161-H161</f>
        <v>0</v>
      </c>
      <c r="J161" s="120">
        <v>0</v>
      </c>
      <c r="L161" s="74">
        <f t="shared" si="30"/>
        <v>0</v>
      </c>
      <c r="M161" s="79">
        <f t="shared" si="31"/>
        <v>70000</v>
      </c>
      <c r="N161" s="74">
        <f t="shared" si="32"/>
        <v>70000</v>
      </c>
    </row>
    <row r="162" spans="1:14" ht="13.5" thickBot="1" x14ac:dyDescent="0.25">
      <c r="A162" s="292" t="s">
        <v>285</v>
      </c>
      <c r="B162" s="293"/>
      <c r="C162" s="293"/>
      <c r="D162" s="293"/>
      <c r="E162" s="294"/>
      <c r="F162" s="185">
        <f>F92+F60+F50+F40+F10+F114+F145+F151+F86+F124+F29+F130+F157+F36</f>
        <v>12556.637999999999</v>
      </c>
      <c r="G162" s="185">
        <f>G92+G60+G50+G40+G10+G114+G145+G151+G86+G124+G29+G130+G157+G36</f>
        <v>15010.178800000002</v>
      </c>
      <c r="H162" s="185">
        <f>H92+H60+H50+H40+H10+H114+H145+H151+H86+H124+H29+H130+H157+H36</f>
        <v>9589.3261700000003</v>
      </c>
      <c r="I162" s="185">
        <f>I92+I60+I50+I40+I10+I114+I145+I151+I86+I124+I29+I130</f>
        <v>5419.8526300000012</v>
      </c>
      <c r="J162" s="186">
        <f>H162/G162*100</f>
        <v>63.885489292106236</v>
      </c>
    </row>
    <row r="164" spans="1:14" x14ac:dyDescent="0.2">
      <c r="F164" s="20"/>
      <c r="G164" s="20"/>
      <c r="H164" s="20"/>
      <c r="I164" s="20"/>
    </row>
    <row r="166" spans="1:14" x14ac:dyDescent="0.2">
      <c r="F166" s="20">
        <f>F162*1000</f>
        <v>12556637.999999998</v>
      </c>
      <c r="G166" s="20">
        <f>G162*1000</f>
        <v>15010178.800000001</v>
      </c>
      <c r="H166" s="20">
        <f>H162*1000</f>
        <v>9589326.1699999999</v>
      </c>
      <c r="I166" s="20"/>
    </row>
    <row r="168" spans="1:14" x14ac:dyDescent="0.2">
      <c r="F168" s="20">
        <f>F166-Пр.3!K55</f>
        <v>0</v>
      </c>
      <c r="G168" s="20">
        <f>G166-15010178.8</f>
        <v>0</v>
      </c>
      <c r="H168" s="20">
        <f>H166-9589326.17</f>
        <v>0</v>
      </c>
      <c r="I168" s="20"/>
    </row>
    <row r="170" spans="1:14" x14ac:dyDescent="0.2">
      <c r="F170" s="20"/>
    </row>
  </sheetData>
  <mergeCells count="5">
    <mergeCell ref="E1:J1"/>
    <mergeCell ref="A2:J2"/>
    <mergeCell ref="A5:J5"/>
    <mergeCell ref="D3:K3"/>
    <mergeCell ref="A162:E162"/>
  </mergeCells>
  <pageMargins left="0.39370078740157483" right="7.874015748031496E-2" top="0.19685039370078741" bottom="0.19685039370078741" header="0.15748031496062992" footer="0.15748031496062992"/>
  <pageSetup paperSize="9" scale="55" orientation="portrait" horizontalDpi="300" verticalDpi="300" r:id="rId1"/>
  <rowBreaks count="1" manualBreakCount="1">
    <brk id="60" max="9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Q164"/>
  <sheetViews>
    <sheetView zoomScaleNormal="100" zoomScaleSheetLayoutView="80" workbookViewId="0">
      <selection activeCell="C3" sqref="C3"/>
    </sheetView>
  </sheetViews>
  <sheetFormatPr defaultRowHeight="15.75" x14ac:dyDescent="0.25"/>
  <cols>
    <col min="1" max="1" width="6.85546875" style="1" customWidth="1"/>
    <col min="2" max="2" width="58.140625" style="7" customWidth="1"/>
    <col min="3" max="3" width="9.85546875" style="7" customWidth="1"/>
    <col min="4" max="4" width="9.85546875" style="5" customWidth="1"/>
    <col min="5" max="5" width="12.85546875" style="1" customWidth="1"/>
    <col min="6" max="6" width="8.7109375" style="8" customWidth="1"/>
    <col min="7" max="7" width="7.28515625" style="1" customWidth="1"/>
    <col min="8" max="8" width="16.28515625" style="1" customWidth="1"/>
    <col min="9" max="9" width="13.85546875" style="1" customWidth="1"/>
    <col min="10" max="10" width="13" style="1" customWidth="1"/>
    <col min="11" max="11" width="11.28515625" style="1" customWidth="1"/>
    <col min="12" max="12" width="10.7109375" style="1" customWidth="1"/>
    <col min="13" max="13" width="11.85546875" style="1" bestFit="1" customWidth="1"/>
    <col min="14" max="14" width="11.5703125" style="1" customWidth="1"/>
    <col min="15" max="15" width="13" style="1" customWidth="1"/>
    <col min="16" max="16" width="10" style="1" bestFit="1" customWidth="1"/>
    <col min="17" max="17" width="12" style="1" customWidth="1"/>
    <col min="18" max="16384" width="9.140625" style="1"/>
  </cols>
  <sheetData>
    <row r="1" spans="1:15" ht="19.5" customHeight="1" x14ac:dyDescent="0.25">
      <c r="A1" s="4"/>
      <c r="B1" s="14"/>
      <c r="C1" s="8"/>
      <c r="D1" s="8"/>
      <c r="E1" s="8"/>
      <c r="F1" s="289" t="s">
        <v>434</v>
      </c>
      <c r="G1" s="289"/>
      <c r="H1" s="289"/>
      <c r="I1" s="290"/>
      <c r="J1" s="290"/>
      <c r="K1" s="290"/>
      <c r="L1" s="2"/>
      <c r="M1" s="2"/>
      <c r="N1" s="2"/>
    </row>
    <row r="2" spans="1:15" ht="15" customHeight="1" x14ac:dyDescent="0.25">
      <c r="A2" s="4"/>
      <c r="B2" s="272" t="s">
        <v>408</v>
      </c>
      <c r="C2" s="272"/>
      <c r="D2" s="272"/>
      <c r="E2" s="272"/>
      <c r="F2" s="272"/>
      <c r="G2" s="272"/>
      <c r="H2" s="272"/>
      <c r="I2" s="273"/>
      <c r="J2" s="273"/>
      <c r="K2" s="273"/>
      <c r="L2" s="2"/>
      <c r="M2" s="2"/>
      <c r="N2" s="2"/>
    </row>
    <row r="3" spans="1:15" ht="15.75" customHeight="1" x14ac:dyDescent="0.25">
      <c r="A3" s="4"/>
      <c r="B3" s="15"/>
      <c r="C3" s="136"/>
      <c r="D3" s="136"/>
      <c r="E3" s="290" t="s">
        <v>502</v>
      </c>
      <c r="F3" s="290"/>
      <c r="G3" s="290"/>
      <c r="H3" s="290"/>
      <c r="I3" s="290"/>
      <c r="J3" s="290"/>
      <c r="K3" s="290"/>
      <c r="L3" s="2"/>
      <c r="M3" s="2"/>
      <c r="N3" s="2"/>
    </row>
    <row r="4" spans="1:15" ht="15.75" customHeight="1" x14ac:dyDescent="0.25">
      <c r="A4" s="4"/>
      <c r="B4" s="9"/>
      <c r="C4" s="9"/>
      <c r="D4" s="10"/>
      <c r="E4" s="4"/>
      <c r="F4" s="11"/>
      <c r="G4" s="4"/>
      <c r="H4" s="4"/>
      <c r="I4" s="4"/>
      <c r="J4" s="4"/>
      <c r="K4" s="4"/>
    </row>
    <row r="5" spans="1:15" ht="20.25" customHeight="1" x14ac:dyDescent="0.3">
      <c r="A5" s="250" t="s">
        <v>497</v>
      </c>
      <c r="B5" s="250"/>
      <c r="C5" s="250"/>
      <c r="D5" s="250"/>
      <c r="E5" s="298"/>
      <c r="F5" s="298"/>
      <c r="G5" s="298"/>
      <c r="H5" s="298"/>
      <c r="I5" s="298"/>
      <c r="J5" s="298"/>
      <c r="K5" s="298"/>
    </row>
    <row r="6" spans="1:15" ht="16.5" thickBot="1" x14ac:dyDescent="0.3">
      <c r="A6" s="271"/>
      <c r="B6" s="271"/>
      <c r="C6" s="271"/>
      <c r="D6" s="271"/>
      <c r="E6" s="271"/>
      <c r="F6" s="271"/>
      <c r="G6" s="271"/>
      <c r="H6" s="271"/>
      <c r="I6" s="271"/>
      <c r="J6" s="271"/>
      <c r="K6" s="271"/>
      <c r="L6" s="299"/>
      <c r="M6" s="299"/>
      <c r="N6" s="299"/>
    </row>
    <row r="7" spans="1:15" ht="91.5" customHeight="1" thickBot="1" x14ac:dyDescent="0.25">
      <c r="A7" s="30" t="s">
        <v>53</v>
      </c>
      <c r="B7" s="31" t="s">
        <v>13</v>
      </c>
      <c r="C7" s="31" t="s">
        <v>23</v>
      </c>
      <c r="D7" s="31" t="s">
        <v>14</v>
      </c>
      <c r="E7" s="31" t="s">
        <v>15</v>
      </c>
      <c r="F7" s="31" t="s">
        <v>16</v>
      </c>
      <c r="G7" s="31" t="s">
        <v>36</v>
      </c>
      <c r="H7" s="159" t="s">
        <v>442</v>
      </c>
      <c r="I7" s="88" t="s">
        <v>494</v>
      </c>
      <c r="J7" s="160" t="s">
        <v>495</v>
      </c>
      <c r="K7" s="89" t="s">
        <v>274</v>
      </c>
      <c r="L7" s="6"/>
      <c r="M7" s="4"/>
    </row>
    <row r="8" spans="1:15" ht="13.5" thickBot="1" x14ac:dyDescent="0.25">
      <c r="A8" s="210">
        <v>1</v>
      </c>
      <c r="B8" s="211">
        <v>2</v>
      </c>
      <c r="C8" s="211">
        <v>3</v>
      </c>
      <c r="D8" s="211">
        <v>4</v>
      </c>
      <c r="E8" s="211">
        <v>5</v>
      </c>
      <c r="F8" s="211">
        <v>6</v>
      </c>
      <c r="G8" s="211">
        <v>7</v>
      </c>
      <c r="H8" s="211">
        <v>8</v>
      </c>
      <c r="I8" s="211">
        <v>9</v>
      </c>
      <c r="J8" s="211">
        <v>10</v>
      </c>
      <c r="K8" s="216">
        <v>11</v>
      </c>
      <c r="L8" s="6"/>
      <c r="M8" s="4"/>
    </row>
    <row r="9" spans="1:15" ht="13.5" x14ac:dyDescent="0.2">
      <c r="A9" s="213">
        <v>1</v>
      </c>
      <c r="B9" s="53" t="s">
        <v>8</v>
      </c>
      <c r="C9" s="54">
        <v>807</v>
      </c>
      <c r="D9" s="55"/>
      <c r="E9" s="55"/>
      <c r="F9" s="55"/>
      <c r="G9" s="56"/>
      <c r="H9" s="226">
        <f>H10+H74+H100+H112+H85</f>
        <v>12493.406000000001</v>
      </c>
      <c r="I9" s="226">
        <f>I10+I74+I100+I112+I85</f>
        <v>14876.946800000002</v>
      </c>
      <c r="J9" s="226">
        <f>J10+J74+J100+J112+J85</f>
        <v>9478.3261700000003</v>
      </c>
      <c r="K9" s="161">
        <f>J9/I9*100</f>
        <v>63.711501408340041</v>
      </c>
      <c r="L9" s="12"/>
      <c r="M9" s="13"/>
      <c r="N9" s="3"/>
    </row>
    <row r="10" spans="1:15" s="3" customFormat="1" ht="12.75" x14ac:dyDescent="0.2">
      <c r="A10" s="32">
        <v>2</v>
      </c>
      <c r="B10" s="41" t="s">
        <v>17</v>
      </c>
      <c r="C10" s="33">
        <v>807</v>
      </c>
      <c r="D10" s="34" t="s">
        <v>24</v>
      </c>
      <c r="E10" s="34"/>
      <c r="F10" s="34"/>
      <c r="G10" s="35"/>
      <c r="H10" s="227">
        <f>H11+H20+H27+H55+H71+H49</f>
        <v>9548.4340000000011</v>
      </c>
      <c r="I10" s="227">
        <f>I11+I20+I27+I55+I71+I49</f>
        <v>10029.345960000001</v>
      </c>
      <c r="J10" s="227">
        <f>J11+J20+J27+J55+J71+J49</f>
        <v>6415.2762299999995</v>
      </c>
      <c r="K10" s="162">
        <f>J10/I10*100</f>
        <v>63.965050718023086</v>
      </c>
      <c r="L10" s="1"/>
      <c r="M10" s="1"/>
      <c r="N10" s="1"/>
    </row>
    <row r="11" spans="1:15" ht="25.5" x14ac:dyDescent="0.2">
      <c r="A11" s="32">
        <v>3</v>
      </c>
      <c r="B11" s="42" t="s">
        <v>18</v>
      </c>
      <c r="C11" s="33">
        <v>807</v>
      </c>
      <c r="D11" s="35" t="s">
        <v>25</v>
      </c>
      <c r="E11" s="35"/>
      <c r="F11" s="35"/>
      <c r="G11" s="35"/>
      <c r="H11" s="227">
        <f t="shared" ref="H11:J12" si="0">H12</f>
        <v>1021.0346499999999</v>
      </c>
      <c r="I11" s="227">
        <f t="shared" si="0"/>
        <v>1078.1825900000001</v>
      </c>
      <c r="J11" s="227">
        <f t="shared" si="0"/>
        <v>710.19311999999991</v>
      </c>
      <c r="K11" s="162">
        <f t="shared" ref="K11:K87" si="1">J11/I11*100</f>
        <v>65.869466506596055</v>
      </c>
      <c r="M11" s="20">
        <f>H11*1000</f>
        <v>1021034.6499999999</v>
      </c>
      <c r="N11" s="20">
        <f>I11*1000</f>
        <v>1078182.5900000001</v>
      </c>
    </row>
    <row r="12" spans="1:15" ht="12.75" x14ac:dyDescent="0.2">
      <c r="A12" s="32">
        <v>4</v>
      </c>
      <c r="B12" s="215" t="s">
        <v>139</v>
      </c>
      <c r="C12" s="33">
        <v>807</v>
      </c>
      <c r="D12" s="35" t="s">
        <v>25</v>
      </c>
      <c r="E12" s="35" t="s">
        <v>267</v>
      </c>
      <c r="F12" s="35"/>
      <c r="G12" s="35"/>
      <c r="H12" s="227">
        <f t="shared" si="0"/>
        <v>1021.0346499999999</v>
      </c>
      <c r="I12" s="227">
        <f t="shared" si="0"/>
        <v>1078.1825900000001</v>
      </c>
      <c r="J12" s="227">
        <f t="shared" si="0"/>
        <v>710.19311999999991</v>
      </c>
      <c r="K12" s="162">
        <f t="shared" si="1"/>
        <v>65.869466506596055</v>
      </c>
      <c r="M12" s="20">
        <f>H12*1000</f>
        <v>1021034.6499999999</v>
      </c>
      <c r="N12" s="20">
        <f>I12*1000</f>
        <v>1078182.5900000001</v>
      </c>
      <c r="O12" s="20">
        <f>J12*1000</f>
        <v>710193.11999999988</v>
      </c>
    </row>
    <row r="13" spans="1:15" ht="25.5" x14ac:dyDescent="0.2">
      <c r="A13" s="32">
        <v>5</v>
      </c>
      <c r="B13" s="215" t="s">
        <v>140</v>
      </c>
      <c r="C13" s="80">
        <v>807</v>
      </c>
      <c r="D13" s="35" t="s">
        <v>25</v>
      </c>
      <c r="E13" s="35" t="s">
        <v>267</v>
      </c>
      <c r="F13" s="35" t="s">
        <v>74</v>
      </c>
      <c r="G13" s="35"/>
      <c r="H13" s="227">
        <f>SUM(H14:H19)</f>
        <v>1021.0346499999999</v>
      </c>
      <c r="I13" s="227">
        <f>SUM(I14:I19)</f>
        <v>1078.1825900000001</v>
      </c>
      <c r="J13" s="227">
        <f>SUM(J14:J19)</f>
        <v>710.19311999999991</v>
      </c>
      <c r="K13" s="162">
        <f t="shared" si="1"/>
        <v>65.869466506596055</v>
      </c>
      <c r="M13" s="20">
        <f t="shared" ref="M13:M73" si="2">H13*1000</f>
        <v>1021034.6499999999</v>
      </c>
      <c r="N13" s="20">
        <f t="shared" ref="N13:N73" si="3">I13*1000</f>
        <v>1078182.5900000001</v>
      </c>
      <c r="O13" s="20">
        <f t="shared" ref="O13:O73" si="4">J13*1000</f>
        <v>710193.11999999988</v>
      </c>
    </row>
    <row r="14" spans="1:15" ht="12.75" x14ac:dyDescent="0.2">
      <c r="A14" s="32">
        <v>6</v>
      </c>
      <c r="B14" s="215" t="s">
        <v>32</v>
      </c>
      <c r="C14" s="80">
        <v>807</v>
      </c>
      <c r="D14" s="35" t="s">
        <v>25</v>
      </c>
      <c r="E14" s="35" t="s">
        <v>167</v>
      </c>
      <c r="F14" s="35" t="s">
        <v>67</v>
      </c>
      <c r="G14" s="35" t="s">
        <v>37</v>
      </c>
      <c r="H14" s="227">
        <v>784.20479999999998</v>
      </c>
      <c r="I14" s="227">
        <v>784.20479999999998</v>
      </c>
      <c r="J14" s="227">
        <v>548.07583</v>
      </c>
      <c r="K14" s="162">
        <f t="shared" si="1"/>
        <v>69.889374561339082</v>
      </c>
      <c r="M14" s="20">
        <f t="shared" si="2"/>
        <v>784204.79999999993</v>
      </c>
      <c r="N14" s="20">
        <f t="shared" si="3"/>
        <v>784204.79999999993</v>
      </c>
      <c r="O14" s="20">
        <f t="shared" si="4"/>
        <v>548075.82999999996</v>
      </c>
    </row>
    <row r="15" spans="1:15" ht="12.75" x14ac:dyDescent="0.2">
      <c r="A15" s="32">
        <v>7</v>
      </c>
      <c r="B15" s="215" t="s">
        <v>39</v>
      </c>
      <c r="C15" s="36">
        <v>807</v>
      </c>
      <c r="D15" s="35" t="s">
        <v>25</v>
      </c>
      <c r="E15" s="35" t="s">
        <v>167</v>
      </c>
      <c r="F15" s="35" t="s">
        <v>171</v>
      </c>
      <c r="G15" s="35" t="s">
        <v>38</v>
      </c>
      <c r="H15" s="227">
        <v>236.82984999999999</v>
      </c>
      <c r="I15" s="227">
        <v>236.82984999999999</v>
      </c>
      <c r="J15" s="227">
        <v>155.9598</v>
      </c>
      <c r="K15" s="162">
        <f t="shared" si="1"/>
        <v>65.853100865452561</v>
      </c>
      <c r="M15" s="20">
        <f t="shared" si="2"/>
        <v>236829.85</v>
      </c>
      <c r="N15" s="20">
        <f t="shared" si="3"/>
        <v>236829.85</v>
      </c>
      <c r="O15" s="20">
        <f t="shared" si="4"/>
        <v>155959.79999999999</v>
      </c>
    </row>
    <row r="16" spans="1:15" ht="12.75" x14ac:dyDescent="0.2">
      <c r="A16" s="32">
        <v>8</v>
      </c>
      <c r="B16" s="215" t="s">
        <v>32</v>
      </c>
      <c r="C16" s="80">
        <v>807</v>
      </c>
      <c r="D16" s="35" t="s">
        <v>25</v>
      </c>
      <c r="E16" s="35" t="s">
        <v>479</v>
      </c>
      <c r="F16" s="35" t="s">
        <v>67</v>
      </c>
      <c r="G16" s="35" t="s">
        <v>37</v>
      </c>
      <c r="H16" s="227">
        <v>0</v>
      </c>
      <c r="I16" s="227">
        <v>24.691199999999998</v>
      </c>
      <c r="J16" s="227">
        <v>4.7302</v>
      </c>
      <c r="K16" s="162">
        <f>J16/I16*100</f>
        <v>19.15743260756869</v>
      </c>
      <c r="M16" s="20"/>
      <c r="N16" s="20"/>
      <c r="O16" s="20"/>
    </row>
    <row r="17" spans="1:16" ht="12.75" x14ac:dyDescent="0.2">
      <c r="A17" s="32">
        <v>9</v>
      </c>
      <c r="B17" s="215" t="s">
        <v>39</v>
      </c>
      <c r="C17" s="36">
        <v>807</v>
      </c>
      <c r="D17" s="35" t="s">
        <v>25</v>
      </c>
      <c r="E17" s="35" t="s">
        <v>479</v>
      </c>
      <c r="F17" s="35" t="s">
        <v>171</v>
      </c>
      <c r="G17" s="35" t="s">
        <v>38</v>
      </c>
      <c r="H17" s="227">
        <v>0</v>
      </c>
      <c r="I17" s="227">
        <v>7.4567399999999999</v>
      </c>
      <c r="J17" s="227">
        <v>1.4272899999999999</v>
      </c>
      <c r="K17" s="162">
        <f>J17/I17*100</f>
        <v>19.140938265247279</v>
      </c>
      <c r="M17" s="20"/>
      <c r="N17" s="20"/>
      <c r="O17" s="20"/>
    </row>
    <row r="18" spans="1:16" ht="12.75" x14ac:dyDescent="0.2">
      <c r="A18" s="32">
        <v>10</v>
      </c>
      <c r="B18" s="215" t="s">
        <v>374</v>
      </c>
      <c r="C18" s="36">
        <v>807</v>
      </c>
      <c r="D18" s="35" t="s">
        <v>25</v>
      </c>
      <c r="E18" s="35" t="s">
        <v>167</v>
      </c>
      <c r="F18" s="35" t="s">
        <v>176</v>
      </c>
      <c r="G18" s="35" t="s">
        <v>376</v>
      </c>
      <c r="H18" s="227">
        <v>0</v>
      </c>
      <c r="I18" s="227">
        <v>8</v>
      </c>
      <c r="J18" s="227">
        <v>0</v>
      </c>
      <c r="K18" s="162">
        <f t="shared" si="1"/>
        <v>0</v>
      </c>
      <c r="M18" s="20">
        <f t="shared" si="2"/>
        <v>0</v>
      </c>
      <c r="N18" s="20">
        <f t="shared" si="3"/>
        <v>8000</v>
      </c>
      <c r="O18" s="20">
        <f t="shared" si="4"/>
        <v>0</v>
      </c>
    </row>
    <row r="19" spans="1:16" ht="12.75" x14ac:dyDescent="0.2">
      <c r="A19" s="32">
        <v>11</v>
      </c>
      <c r="B19" s="215" t="s">
        <v>375</v>
      </c>
      <c r="C19" s="36">
        <v>807</v>
      </c>
      <c r="D19" s="35" t="s">
        <v>25</v>
      </c>
      <c r="E19" s="35" t="s">
        <v>167</v>
      </c>
      <c r="F19" s="35" t="s">
        <v>176</v>
      </c>
      <c r="G19" s="35" t="s">
        <v>46</v>
      </c>
      <c r="H19" s="227">
        <v>0</v>
      </c>
      <c r="I19" s="227">
        <v>17</v>
      </c>
      <c r="J19" s="227">
        <v>0</v>
      </c>
      <c r="K19" s="162">
        <f t="shared" si="1"/>
        <v>0</v>
      </c>
      <c r="M19" s="20">
        <f t="shared" si="2"/>
        <v>0</v>
      </c>
      <c r="N19" s="20">
        <f t="shared" si="3"/>
        <v>17000</v>
      </c>
      <c r="O19" s="20">
        <f t="shared" si="4"/>
        <v>0</v>
      </c>
    </row>
    <row r="20" spans="1:16" ht="38.25" x14ac:dyDescent="0.2">
      <c r="A20" s="32">
        <v>12</v>
      </c>
      <c r="B20" s="42" t="s">
        <v>19</v>
      </c>
      <c r="C20" s="36">
        <v>807</v>
      </c>
      <c r="D20" s="35" t="s">
        <v>26</v>
      </c>
      <c r="E20" s="35"/>
      <c r="F20" s="35"/>
      <c r="G20" s="35"/>
      <c r="H20" s="227">
        <f t="shared" ref="H20:J21" si="5">H21</f>
        <v>935.93009000000006</v>
      </c>
      <c r="I20" s="227">
        <f t="shared" si="5"/>
        <v>962.72837000000004</v>
      </c>
      <c r="J20" s="227">
        <f t="shared" si="5"/>
        <v>664.11479999999995</v>
      </c>
      <c r="K20" s="162">
        <f t="shared" si="1"/>
        <v>68.982572934876728</v>
      </c>
      <c r="M20" s="20">
        <f t="shared" si="2"/>
        <v>935930.09000000008</v>
      </c>
      <c r="N20" s="20">
        <f t="shared" si="3"/>
        <v>962728.37</v>
      </c>
      <c r="O20" s="20">
        <f t="shared" si="4"/>
        <v>664114.79999999993</v>
      </c>
    </row>
    <row r="21" spans="1:16" ht="12.75" x14ac:dyDescent="0.2">
      <c r="A21" s="32">
        <v>13</v>
      </c>
      <c r="B21" s="215" t="s">
        <v>139</v>
      </c>
      <c r="C21" s="36">
        <v>807</v>
      </c>
      <c r="D21" s="35" t="s">
        <v>26</v>
      </c>
      <c r="E21" s="35" t="s">
        <v>268</v>
      </c>
      <c r="F21" s="35"/>
      <c r="G21" s="35"/>
      <c r="H21" s="227">
        <f t="shared" si="5"/>
        <v>935.93009000000006</v>
      </c>
      <c r="I21" s="227">
        <f t="shared" si="5"/>
        <v>962.72837000000004</v>
      </c>
      <c r="J21" s="227">
        <f t="shared" si="5"/>
        <v>664.11479999999995</v>
      </c>
      <c r="K21" s="162">
        <f t="shared" si="1"/>
        <v>68.982572934876728</v>
      </c>
      <c r="M21" s="20">
        <f t="shared" si="2"/>
        <v>935930.09000000008</v>
      </c>
      <c r="N21" s="20">
        <f t="shared" si="3"/>
        <v>962728.37</v>
      </c>
      <c r="O21" s="20">
        <f t="shared" si="4"/>
        <v>664114.79999999993</v>
      </c>
    </row>
    <row r="22" spans="1:16" ht="12.75" x14ac:dyDescent="0.2">
      <c r="A22" s="32">
        <v>14</v>
      </c>
      <c r="B22" s="215" t="s">
        <v>141</v>
      </c>
      <c r="C22" s="36">
        <v>807</v>
      </c>
      <c r="D22" s="35" t="s">
        <v>26</v>
      </c>
      <c r="E22" s="35" t="s">
        <v>268</v>
      </c>
      <c r="F22" s="35" t="s">
        <v>74</v>
      </c>
      <c r="G22" s="35"/>
      <c r="H22" s="227">
        <f>SUM(H23:H26)</f>
        <v>935.93009000000006</v>
      </c>
      <c r="I22" s="227">
        <f>SUM(I23:I26)</f>
        <v>962.72837000000004</v>
      </c>
      <c r="J22" s="227">
        <f>SUM(J23:J26)</f>
        <v>664.11479999999995</v>
      </c>
      <c r="K22" s="162">
        <f t="shared" si="1"/>
        <v>68.982572934876728</v>
      </c>
      <c r="M22" s="20">
        <f t="shared" si="2"/>
        <v>935930.09000000008</v>
      </c>
      <c r="N22" s="20">
        <f t="shared" si="3"/>
        <v>962728.37</v>
      </c>
      <c r="O22" s="20">
        <f t="shared" si="4"/>
        <v>664114.79999999993</v>
      </c>
    </row>
    <row r="23" spans="1:16" ht="12.75" x14ac:dyDescent="0.2">
      <c r="A23" s="32">
        <v>15</v>
      </c>
      <c r="B23" s="215" t="s">
        <v>32</v>
      </c>
      <c r="C23" s="36">
        <v>807</v>
      </c>
      <c r="D23" s="35" t="s">
        <v>26</v>
      </c>
      <c r="E23" s="35" t="s">
        <v>168</v>
      </c>
      <c r="F23" s="35" t="s">
        <v>67</v>
      </c>
      <c r="G23" s="35" t="s">
        <v>37</v>
      </c>
      <c r="H23" s="227">
        <v>718.84032000000002</v>
      </c>
      <c r="I23" s="227">
        <v>718.84032000000002</v>
      </c>
      <c r="J23" s="227">
        <v>513.33691999999996</v>
      </c>
      <c r="K23" s="162">
        <f t="shared" si="1"/>
        <v>71.411815074591246</v>
      </c>
      <c r="M23" s="20">
        <f t="shared" si="2"/>
        <v>718840.32000000007</v>
      </c>
      <c r="N23" s="20">
        <f t="shared" si="3"/>
        <v>718840.32000000007</v>
      </c>
      <c r="O23" s="20">
        <f t="shared" si="4"/>
        <v>513336.92</v>
      </c>
    </row>
    <row r="24" spans="1:16" ht="12.75" x14ac:dyDescent="0.2">
      <c r="A24" s="32">
        <v>16</v>
      </c>
      <c r="B24" s="215" t="s">
        <v>39</v>
      </c>
      <c r="C24" s="36">
        <v>807</v>
      </c>
      <c r="D24" s="35" t="s">
        <v>26</v>
      </c>
      <c r="E24" s="35" t="s">
        <v>168</v>
      </c>
      <c r="F24" s="35" t="s">
        <v>171</v>
      </c>
      <c r="G24" s="35" t="s">
        <v>38</v>
      </c>
      <c r="H24" s="227">
        <v>217.08976999999999</v>
      </c>
      <c r="I24" s="227">
        <v>217.08976999999999</v>
      </c>
      <c r="J24" s="227">
        <v>146.3115</v>
      </c>
      <c r="K24" s="162">
        <f t="shared" si="1"/>
        <v>67.396773233487693</v>
      </c>
      <c r="M24" s="20">
        <f t="shared" si="2"/>
        <v>217089.77</v>
      </c>
      <c r="N24" s="20">
        <f t="shared" si="3"/>
        <v>217089.77</v>
      </c>
      <c r="O24" s="20">
        <f t="shared" si="4"/>
        <v>146311.5</v>
      </c>
    </row>
    <row r="25" spans="1:16" ht="12.75" x14ac:dyDescent="0.2">
      <c r="A25" s="32">
        <v>17</v>
      </c>
      <c r="B25" s="215" t="s">
        <v>32</v>
      </c>
      <c r="C25" s="36">
        <v>807</v>
      </c>
      <c r="D25" s="35" t="s">
        <v>26</v>
      </c>
      <c r="E25" s="35" t="s">
        <v>480</v>
      </c>
      <c r="F25" s="35" t="s">
        <v>67</v>
      </c>
      <c r="G25" s="35" t="s">
        <v>37</v>
      </c>
      <c r="H25" s="227">
        <v>0</v>
      </c>
      <c r="I25" s="227">
        <v>20.5824</v>
      </c>
      <c r="J25" s="227">
        <v>3.4304000000000001</v>
      </c>
      <c r="K25" s="162">
        <f>J25/I25*100</f>
        <v>16.666666666666668</v>
      </c>
      <c r="M25" s="20"/>
      <c r="N25" s="20"/>
      <c r="O25" s="20"/>
    </row>
    <row r="26" spans="1:16" ht="12.75" x14ac:dyDescent="0.2">
      <c r="A26" s="32">
        <v>18</v>
      </c>
      <c r="B26" s="215" t="s">
        <v>39</v>
      </c>
      <c r="C26" s="36">
        <v>807</v>
      </c>
      <c r="D26" s="35" t="s">
        <v>26</v>
      </c>
      <c r="E26" s="35" t="s">
        <v>480</v>
      </c>
      <c r="F26" s="35" t="s">
        <v>171</v>
      </c>
      <c r="G26" s="35" t="s">
        <v>38</v>
      </c>
      <c r="H26" s="227">
        <v>0</v>
      </c>
      <c r="I26" s="227">
        <v>6.2158800000000003</v>
      </c>
      <c r="J26" s="227">
        <v>1.0359799999999999</v>
      </c>
      <c r="K26" s="162">
        <f>J26/I26*100</f>
        <v>16.666666666666664</v>
      </c>
      <c r="M26" s="20"/>
      <c r="N26" s="20"/>
      <c r="O26" s="20"/>
    </row>
    <row r="27" spans="1:16" ht="38.25" x14ac:dyDescent="0.2">
      <c r="A27" s="32">
        <v>19</v>
      </c>
      <c r="B27" s="42" t="s">
        <v>20</v>
      </c>
      <c r="C27" s="36">
        <v>807</v>
      </c>
      <c r="D27" s="35" t="s">
        <v>27</v>
      </c>
      <c r="E27" s="35"/>
      <c r="F27" s="35"/>
      <c r="G27" s="35"/>
      <c r="H27" s="227">
        <f>H28</f>
        <v>5712.3517900000006</v>
      </c>
      <c r="I27" s="227">
        <f>I28</f>
        <v>5999.4063300000007</v>
      </c>
      <c r="J27" s="227">
        <f>J28</f>
        <v>3695.3074499999998</v>
      </c>
      <c r="K27" s="162">
        <f t="shared" si="1"/>
        <v>61.594551972944956</v>
      </c>
      <c r="M27" s="20">
        <f t="shared" si="2"/>
        <v>5712351.790000001</v>
      </c>
      <c r="N27" s="20">
        <f t="shared" si="3"/>
        <v>5999406.330000001</v>
      </c>
      <c r="O27" s="20">
        <f t="shared" si="4"/>
        <v>3695307.4499999997</v>
      </c>
    </row>
    <row r="28" spans="1:16" ht="12.75" x14ac:dyDescent="0.2">
      <c r="A28" s="32">
        <v>20</v>
      </c>
      <c r="B28" s="215" t="s">
        <v>142</v>
      </c>
      <c r="C28" s="36">
        <v>807</v>
      </c>
      <c r="D28" s="35" t="s">
        <v>27</v>
      </c>
      <c r="E28" s="35" t="s">
        <v>241</v>
      </c>
      <c r="F28" s="35"/>
      <c r="G28" s="35"/>
      <c r="H28" s="227">
        <f>SUM(H29:H48)</f>
        <v>5712.3517900000006</v>
      </c>
      <c r="I28" s="227">
        <f>SUM(I29:I48)</f>
        <v>5999.4063300000007</v>
      </c>
      <c r="J28" s="227">
        <f>SUM(J29:J48)</f>
        <v>3695.3074499999998</v>
      </c>
      <c r="K28" s="162">
        <f t="shared" si="1"/>
        <v>61.594551972944956</v>
      </c>
      <c r="M28" s="20">
        <f t="shared" si="2"/>
        <v>5712351.790000001</v>
      </c>
      <c r="N28" s="20">
        <f t="shared" si="3"/>
        <v>5999406.330000001</v>
      </c>
      <c r="O28" s="20">
        <f t="shared" si="4"/>
        <v>3695307.4499999997</v>
      </c>
    </row>
    <row r="29" spans="1:16" ht="12.75" x14ac:dyDescent="0.2">
      <c r="A29" s="32">
        <v>21</v>
      </c>
      <c r="B29" s="215" t="s">
        <v>32</v>
      </c>
      <c r="C29" s="36">
        <v>807</v>
      </c>
      <c r="D29" s="35" t="s">
        <v>27</v>
      </c>
      <c r="E29" s="35" t="s">
        <v>169</v>
      </c>
      <c r="F29" s="35" t="s">
        <v>67</v>
      </c>
      <c r="G29" s="35" t="s">
        <v>37</v>
      </c>
      <c r="H29" s="227">
        <v>3363.7595099999999</v>
      </c>
      <c r="I29" s="227">
        <v>3330.1335100000001</v>
      </c>
      <c r="J29" s="227">
        <v>2064.8743300000001</v>
      </c>
      <c r="K29" s="162">
        <f t="shared" si="1"/>
        <v>62.005752135745453</v>
      </c>
      <c r="M29" s="20">
        <f t="shared" si="2"/>
        <v>3363759.51</v>
      </c>
      <c r="N29" s="20">
        <f t="shared" si="3"/>
        <v>3330133.5100000002</v>
      </c>
      <c r="O29" s="20">
        <f t="shared" si="4"/>
        <v>2064874.33</v>
      </c>
      <c r="P29" s="20"/>
    </row>
    <row r="30" spans="1:16" ht="12.75" x14ac:dyDescent="0.2">
      <c r="A30" s="32">
        <v>22</v>
      </c>
      <c r="B30" s="215" t="s">
        <v>39</v>
      </c>
      <c r="C30" s="36">
        <v>807</v>
      </c>
      <c r="D30" s="35" t="s">
        <v>27</v>
      </c>
      <c r="E30" s="35" t="s">
        <v>169</v>
      </c>
      <c r="F30" s="35" t="s">
        <v>171</v>
      </c>
      <c r="G30" s="35" t="s">
        <v>38</v>
      </c>
      <c r="H30" s="227">
        <v>1015.85538</v>
      </c>
      <c r="I30" s="227">
        <v>1008.72138</v>
      </c>
      <c r="J30" s="227">
        <v>571.65191000000004</v>
      </c>
      <c r="K30" s="162">
        <f t="shared" si="1"/>
        <v>56.670942178304983</v>
      </c>
      <c r="M30" s="20">
        <f t="shared" si="2"/>
        <v>1015855.38</v>
      </c>
      <c r="N30" s="20">
        <f t="shared" si="3"/>
        <v>1008721.38</v>
      </c>
      <c r="O30" s="20">
        <f t="shared" si="4"/>
        <v>571651.91</v>
      </c>
    </row>
    <row r="31" spans="1:16" ht="12.75" x14ac:dyDescent="0.2">
      <c r="A31" s="32">
        <v>23</v>
      </c>
      <c r="B31" s="215" t="s">
        <v>32</v>
      </c>
      <c r="C31" s="36">
        <v>807</v>
      </c>
      <c r="D31" s="35" t="s">
        <v>27</v>
      </c>
      <c r="E31" s="35" t="s">
        <v>373</v>
      </c>
      <c r="F31" s="35" t="s">
        <v>67</v>
      </c>
      <c r="G31" s="35" t="s">
        <v>37</v>
      </c>
      <c r="H31" s="227">
        <v>0</v>
      </c>
      <c r="I31" s="227">
        <v>37.527999999999999</v>
      </c>
      <c r="J31" s="227">
        <v>27.643999999999998</v>
      </c>
      <c r="K31" s="162">
        <f t="shared" si="1"/>
        <v>73.66233212534641</v>
      </c>
      <c r="M31" s="20">
        <f t="shared" si="2"/>
        <v>0</v>
      </c>
      <c r="N31" s="20">
        <f t="shared" si="3"/>
        <v>37528</v>
      </c>
      <c r="O31" s="20">
        <f t="shared" si="4"/>
        <v>27644</v>
      </c>
    </row>
    <row r="32" spans="1:16" ht="12.75" x14ac:dyDescent="0.2">
      <c r="A32" s="32">
        <v>24</v>
      </c>
      <c r="B32" s="215" t="s">
        <v>39</v>
      </c>
      <c r="C32" s="36">
        <v>807</v>
      </c>
      <c r="D32" s="35" t="s">
        <v>27</v>
      </c>
      <c r="E32" s="35" t="s">
        <v>373</v>
      </c>
      <c r="F32" s="35" t="s">
        <v>171</v>
      </c>
      <c r="G32" s="35" t="s">
        <v>38</v>
      </c>
      <c r="H32" s="227">
        <v>0</v>
      </c>
      <c r="I32" s="227">
        <v>11.332000000000001</v>
      </c>
      <c r="J32" s="227">
        <v>8.1809999999999992</v>
      </c>
      <c r="K32" s="162">
        <f t="shared" si="1"/>
        <v>72.193787504412271</v>
      </c>
      <c r="M32" s="20">
        <f t="shared" si="2"/>
        <v>0</v>
      </c>
      <c r="N32" s="20">
        <f t="shared" si="3"/>
        <v>11332</v>
      </c>
      <c r="O32" s="20">
        <f t="shared" si="4"/>
        <v>8180.9999999999991</v>
      </c>
      <c r="P32" s="20">
        <f>O29+O35</f>
        <v>2073477.4100000001</v>
      </c>
    </row>
    <row r="33" spans="1:16" ht="12.75" x14ac:dyDescent="0.2">
      <c r="A33" s="32">
        <v>25</v>
      </c>
      <c r="B33" s="215" t="s">
        <v>32</v>
      </c>
      <c r="C33" s="36">
        <v>807</v>
      </c>
      <c r="D33" s="35" t="s">
        <v>27</v>
      </c>
      <c r="E33" s="35" t="s">
        <v>481</v>
      </c>
      <c r="F33" s="35" t="s">
        <v>67</v>
      </c>
      <c r="G33" s="35" t="s">
        <v>37</v>
      </c>
      <c r="H33" s="227">
        <v>0</v>
      </c>
      <c r="I33" s="227">
        <v>85.903239999999997</v>
      </c>
      <c r="J33" s="227">
        <v>17.785799999999998</v>
      </c>
      <c r="K33" s="162">
        <f>J33/I33*100</f>
        <v>20.704457713120018</v>
      </c>
      <c r="M33" s="20"/>
      <c r="N33" s="20"/>
      <c r="O33" s="20"/>
      <c r="P33" s="20"/>
    </row>
    <row r="34" spans="1:16" ht="12.75" x14ac:dyDescent="0.2">
      <c r="A34" s="32">
        <v>26</v>
      </c>
      <c r="B34" s="215" t="s">
        <v>39</v>
      </c>
      <c r="C34" s="36">
        <v>807</v>
      </c>
      <c r="D34" s="35" t="s">
        <v>27</v>
      </c>
      <c r="E34" s="35" t="s">
        <v>481</v>
      </c>
      <c r="F34" s="35" t="s">
        <v>171</v>
      </c>
      <c r="G34" s="35" t="s">
        <v>38</v>
      </c>
      <c r="H34" s="227">
        <v>0</v>
      </c>
      <c r="I34" s="227">
        <v>25.942299999999999</v>
      </c>
      <c r="J34" s="227">
        <v>4.7659000000000002</v>
      </c>
      <c r="K34" s="162">
        <f>J34/I34*100</f>
        <v>18.371154446598801</v>
      </c>
      <c r="M34" s="20"/>
      <c r="N34" s="20"/>
      <c r="O34" s="20"/>
      <c r="P34" s="20"/>
    </row>
    <row r="35" spans="1:16" ht="12.75" x14ac:dyDescent="0.2">
      <c r="A35" s="32">
        <v>27</v>
      </c>
      <c r="B35" s="215" t="s">
        <v>269</v>
      </c>
      <c r="C35" s="36">
        <v>807</v>
      </c>
      <c r="D35" s="35" t="s">
        <v>27</v>
      </c>
      <c r="E35" s="35" t="s">
        <v>169</v>
      </c>
      <c r="F35" s="35" t="s">
        <v>67</v>
      </c>
      <c r="G35" s="35" t="s">
        <v>270</v>
      </c>
      <c r="H35" s="227">
        <v>0</v>
      </c>
      <c r="I35" s="227">
        <v>10</v>
      </c>
      <c r="J35" s="227">
        <v>8.6030800000000003</v>
      </c>
      <c r="K35" s="162">
        <f t="shared" si="1"/>
        <v>86.030800000000013</v>
      </c>
      <c r="M35" s="20">
        <f t="shared" si="2"/>
        <v>0</v>
      </c>
      <c r="N35" s="20">
        <f t="shared" si="3"/>
        <v>10000</v>
      </c>
      <c r="O35" s="20">
        <f t="shared" si="4"/>
        <v>8603.08</v>
      </c>
    </row>
    <row r="36" spans="1:16" ht="12.75" x14ac:dyDescent="0.2">
      <c r="A36" s="32">
        <v>28</v>
      </c>
      <c r="B36" s="215" t="s">
        <v>47</v>
      </c>
      <c r="C36" s="36">
        <v>807</v>
      </c>
      <c r="D36" s="35" t="s">
        <v>27</v>
      </c>
      <c r="E36" s="35" t="s">
        <v>169</v>
      </c>
      <c r="F36" s="35" t="s">
        <v>176</v>
      </c>
      <c r="G36" s="35" t="s">
        <v>48</v>
      </c>
      <c r="H36" s="227">
        <v>0</v>
      </c>
      <c r="I36" s="227">
        <v>0</v>
      </c>
      <c r="J36" s="227">
        <v>0</v>
      </c>
      <c r="K36" s="162">
        <v>0</v>
      </c>
      <c r="M36" s="20">
        <f t="shared" si="2"/>
        <v>0</v>
      </c>
      <c r="N36" s="20">
        <f t="shared" si="3"/>
        <v>0</v>
      </c>
      <c r="O36" s="20">
        <f t="shared" si="4"/>
        <v>0</v>
      </c>
    </row>
    <row r="37" spans="1:16" ht="12.75" x14ac:dyDescent="0.2">
      <c r="A37" s="32">
        <v>29</v>
      </c>
      <c r="B37" s="215" t="s">
        <v>33</v>
      </c>
      <c r="C37" s="36">
        <v>807</v>
      </c>
      <c r="D37" s="35" t="s">
        <v>27</v>
      </c>
      <c r="E37" s="35" t="s">
        <v>169</v>
      </c>
      <c r="F37" s="35" t="s">
        <v>68</v>
      </c>
      <c r="G37" s="35" t="s">
        <v>41</v>
      </c>
      <c r="H37" s="227">
        <v>52.725999999999999</v>
      </c>
      <c r="I37" s="227">
        <v>64.834999999999994</v>
      </c>
      <c r="J37" s="227">
        <v>31.45205</v>
      </c>
      <c r="K37" s="162">
        <f t="shared" si="1"/>
        <v>48.510912315878777</v>
      </c>
      <c r="M37" s="20">
        <f t="shared" si="2"/>
        <v>52726</v>
      </c>
      <c r="N37" s="20">
        <f t="shared" si="3"/>
        <v>64834.999999999993</v>
      </c>
      <c r="O37" s="20">
        <f t="shared" si="4"/>
        <v>31452.05</v>
      </c>
    </row>
    <row r="38" spans="1:16" ht="12.75" x14ac:dyDescent="0.2">
      <c r="A38" s="32">
        <v>30</v>
      </c>
      <c r="B38" s="215" t="s">
        <v>34</v>
      </c>
      <c r="C38" s="36">
        <v>807</v>
      </c>
      <c r="D38" s="35" t="s">
        <v>27</v>
      </c>
      <c r="E38" s="35" t="s">
        <v>169</v>
      </c>
      <c r="F38" s="35" t="s">
        <v>68</v>
      </c>
      <c r="G38" s="35" t="s">
        <v>42</v>
      </c>
      <c r="H38" s="227">
        <v>22.47176</v>
      </c>
      <c r="I38" s="227">
        <v>22.47176</v>
      </c>
      <c r="J38" s="227">
        <v>15.03162</v>
      </c>
      <c r="K38" s="162">
        <f t="shared" si="1"/>
        <v>66.891155832920973</v>
      </c>
      <c r="M38" s="20">
        <f t="shared" si="2"/>
        <v>22471.759999999998</v>
      </c>
      <c r="N38" s="20">
        <f t="shared" si="3"/>
        <v>22471.759999999998</v>
      </c>
      <c r="O38" s="20">
        <f t="shared" si="4"/>
        <v>15031.62</v>
      </c>
      <c r="P38" s="20">
        <f>O37+O38+O41+O42+O47</f>
        <v>196214.76</v>
      </c>
    </row>
    <row r="39" spans="1:16" ht="12.75" x14ac:dyDescent="0.2">
      <c r="A39" s="32">
        <v>31</v>
      </c>
      <c r="B39" s="215" t="s">
        <v>34</v>
      </c>
      <c r="C39" s="36">
        <v>807</v>
      </c>
      <c r="D39" s="35" t="s">
        <v>27</v>
      </c>
      <c r="E39" s="35" t="s">
        <v>169</v>
      </c>
      <c r="F39" s="35" t="s">
        <v>377</v>
      </c>
      <c r="G39" s="35" t="s">
        <v>42</v>
      </c>
      <c r="H39" s="227">
        <v>1020</v>
      </c>
      <c r="I39" s="227">
        <v>1020</v>
      </c>
      <c r="J39" s="227">
        <v>675.39337</v>
      </c>
      <c r="K39" s="162">
        <f t="shared" si="1"/>
        <v>66.215036274509814</v>
      </c>
      <c r="M39" s="20">
        <f t="shared" si="2"/>
        <v>1020000</v>
      </c>
      <c r="N39" s="20">
        <f t="shared" si="3"/>
        <v>1020000</v>
      </c>
      <c r="O39" s="20">
        <f t="shared" si="4"/>
        <v>675393.37</v>
      </c>
      <c r="P39" s="20"/>
    </row>
    <row r="40" spans="1:16" ht="12.75" x14ac:dyDescent="0.2">
      <c r="A40" s="32">
        <v>32</v>
      </c>
      <c r="B40" s="215" t="s">
        <v>43</v>
      </c>
      <c r="C40" s="36">
        <v>807</v>
      </c>
      <c r="D40" s="35" t="s">
        <v>27</v>
      </c>
      <c r="E40" s="35" t="s">
        <v>169</v>
      </c>
      <c r="F40" s="35" t="s">
        <v>68</v>
      </c>
      <c r="G40" s="35" t="s">
        <v>44</v>
      </c>
      <c r="H40" s="227">
        <v>7.5</v>
      </c>
      <c r="I40" s="227">
        <v>29.3</v>
      </c>
      <c r="J40" s="227">
        <v>15.488300000000001</v>
      </c>
      <c r="K40" s="162">
        <f t="shared" si="1"/>
        <v>52.861092150170649</v>
      </c>
      <c r="M40" s="20">
        <f t="shared" si="2"/>
        <v>7500</v>
      </c>
      <c r="N40" s="20">
        <f t="shared" si="3"/>
        <v>29300</v>
      </c>
      <c r="O40" s="20">
        <f t="shared" si="4"/>
        <v>15488.300000000001</v>
      </c>
    </row>
    <row r="41" spans="1:16" ht="12.75" x14ac:dyDescent="0.2">
      <c r="A41" s="32">
        <v>33</v>
      </c>
      <c r="B41" s="215" t="s">
        <v>45</v>
      </c>
      <c r="C41" s="36">
        <v>807</v>
      </c>
      <c r="D41" s="35" t="s">
        <v>27</v>
      </c>
      <c r="E41" s="35" t="s">
        <v>169</v>
      </c>
      <c r="F41" s="35" t="s">
        <v>68</v>
      </c>
      <c r="G41" s="35" t="s">
        <v>46</v>
      </c>
      <c r="H41" s="227">
        <v>16.8</v>
      </c>
      <c r="I41" s="227">
        <v>40.93</v>
      </c>
      <c r="J41" s="227">
        <v>26.978000000000002</v>
      </c>
      <c r="K41" s="162">
        <f t="shared" si="1"/>
        <v>65.912533593940879</v>
      </c>
      <c r="M41" s="20">
        <f t="shared" si="2"/>
        <v>16800</v>
      </c>
      <c r="N41" s="20">
        <f t="shared" si="3"/>
        <v>40930</v>
      </c>
      <c r="O41" s="20">
        <f t="shared" si="4"/>
        <v>26978</v>
      </c>
    </row>
    <row r="42" spans="1:16" ht="12.75" x14ac:dyDescent="0.2">
      <c r="A42" s="32">
        <v>34</v>
      </c>
      <c r="B42" s="215" t="s">
        <v>208</v>
      </c>
      <c r="C42" s="36">
        <v>807</v>
      </c>
      <c r="D42" s="35" t="s">
        <v>27</v>
      </c>
      <c r="E42" s="35" t="s">
        <v>169</v>
      </c>
      <c r="F42" s="35" t="s">
        <v>68</v>
      </c>
      <c r="G42" s="35" t="s">
        <v>207</v>
      </c>
      <c r="H42" s="227">
        <v>11.251139999999999</v>
      </c>
      <c r="I42" s="227">
        <v>8.1471400000000003</v>
      </c>
      <c r="J42" s="227">
        <v>7.54209</v>
      </c>
      <c r="K42" s="162">
        <f t="shared" si="1"/>
        <v>92.573467499024204</v>
      </c>
      <c r="M42" s="20">
        <f t="shared" si="2"/>
        <v>11251.14</v>
      </c>
      <c r="N42" s="20">
        <f t="shared" si="3"/>
        <v>8147.14</v>
      </c>
      <c r="O42" s="20">
        <f t="shared" si="4"/>
        <v>7542.09</v>
      </c>
    </row>
    <row r="43" spans="1:16" ht="12.75" x14ac:dyDescent="0.2">
      <c r="A43" s="32">
        <v>35</v>
      </c>
      <c r="B43" s="215" t="s">
        <v>402</v>
      </c>
      <c r="C43" s="36">
        <v>807</v>
      </c>
      <c r="D43" s="35" t="s">
        <v>27</v>
      </c>
      <c r="E43" s="35" t="s">
        <v>169</v>
      </c>
      <c r="F43" s="35" t="s">
        <v>401</v>
      </c>
      <c r="G43" s="35" t="s">
        <v>403</v>
      </c>
      <c r="H43" s="227">
        <v>0.5</v>
      </c>
      <c r="I43" s="227">
        <v>0.6</v>
      </c>
      <c r="J43" s="227">
        <v>0.6</v>
      </c>
      <c r="K43" s="162">
        <f t="shared" si="1"/>
        <v>100</v>
      </c>
      <c r="M43" s="20">
        <f t="shared" si="2"/>
        <v>500</v>
      </c>
      <c r="N43" s="20">
        <f t="shared" si="3"/>
        <v>600</v>
      </c>
      <c r="O43" s="20">
        <f t="shared" si="4"/>
        <v>600</v>
      </c>
    </row>
    <row r="44" spans="1:16" ht="12.75" x14ac:dyDescent="0.2">
      <c r="A44" s="32">
        <v>36</v>
      </c>
      <c r="B44" s="215" t="s">
        <v>440</v>
      </c>
      <c r="C44" s="36">
        <v>807</v>
      </c>
      <c r="D44" s="35" t="s">
        <v>27</v>
      </c>
      <c r="E44" s="35" t="s">
        <v>169</v>
      </c>
      <c r="F44" s="35" t="s">
        <v>172</v>
      </c>
      <c r="G44" s="35" t="s">
        <v>209</v>
      </c>
      <c r="H44" s="227">
        <v>0</v>
      </c>
      <c r="I44" s="227">
        <v>0.38700000000000001</v>
      </c>
      <c r="J44" s="227">
        <v>0</v>
      </c>
      <c r="K44" s="162">
        <f t="shared" si="1"/>
        <v>0</v>
      </c>
      <c r="M44" s="20">
        <f t="shared" si="2"/>
        <v>0</v>
      </c>
      <c r="N44" s="20">
        <f t="shared" si="3"/>
        <v>387</v>
      </c>
      <c r="O44" s="20">
        <f t="shared" si="4"/>
        <v>0</v>
      </c>
    </row>
    <row r="45" spans="1:16" ht="12.75" x14ac:dyDescent="0.2">
      <c r="A45" s="32">
        <v>37</v>
      </c>
      <c r="B45" s="215" t="s">
        <v>404</v>
      </c>
      <c r="C45" s="36">
        <v>807</v>
      </c>
      <c r="D45" s="35" t="s">
        <v>27</v>
      </c>
      <c r="E45" s="35" t="s">
        <v>169</v>
      </c>
      <c r="F45" s="35" t="s">
        <v>172</v>
      </c>
      <c r="G45" s="35" t="s">
        <v>378</v>
      </c>
      <c r="H45" s="227">
        <v>2.9420000000000002</v>
      </c>
      <c r="I45" s="227">
        <v>2.4550000000000001</v>
      </c>
      <c r="J45" s="227">
        <v>2.4550000000000001</v>
      </c>
      <c r="K45" s="162">
        <f t="shared" si="1"/>
        <v>100</v>
      </c>
      <c r="M45" s="20">
        <f t="shared" si="2"/>
        <v>2942</v>
      </c>
      <c r="N45" s="20">
        <f t="shared" si="3"/>
        <v>2455</v>
      </c>
      <c r="O45" s="20">
        <f t="shared" si="4"/>
        <v>2455</v>
      </c>
    </row>
    <row r="46" spans="1:16" ht="12.75" x14ac:dyDescent="0.2">
      <c r="A46" s="32">
        <v>38</v>
      </c>
      <c r="B46" s="215" t="s">
        <v>35</v>
      </c>
      <c r="C46" s="36">
        <v>807</v>
      </c>
      <c r="D46" s="35" t="s">
        <v>27</v>
      </c>
      <c r="E46" s="35" t="s">
        <v>169</v>
      </c>
      <c r="F46" s="35" t="s">
        <v>68</v>
      </c>
      <c r="G46" s="35" t="s">
        <v>49</v>
      </c>
      <c r="H46" s="227">
        <v>0</v>
      </c>
      <c r="I46" s="227">
        <v>0</v>
      </c>
      <c r="J46" s="227">
        <v>0</v>
      </c>
      <c r="K46" s="162">
        <v>0</v>
      </c>
      <c r="M46" s="20">
        <f t="shared" si="2"/>
        <v>0</v>
      </c>
      <c r="N46" s="20">
        <f t="shared" si="3"/>
        <v>0</v>
      </c>
      <c r="O46" s="20">
        <f t="shared" si="4"/>
        <v>0</v>
      </c>
    </row>
    <row r="47" spans="1:16" ht="12.75" x14ac:dyDescent="0.2">
      <c r="A47" s="32">
        <v>39</v>
      </c>
      <c r="B47" s="215" t="s">
        <v>52</v>
      </c>
      <c r="C47" s="36">
        <v>807</v>
      </c>
      <c r="D47" s="35" t="s">
        <v>27</v>
      </c>
      <c r="E47" s="35" t="s">
        <v>169</v>
      </c>
      <c r="F47" s="35" t="s">
        <v>68</v>
      </c>
      <c r="G47" s="35" t="s">
        <v>40</v>
      </c>
      <c r="H47" s="227">
        <v>100</v>
      </c>
      <c r="I47" s="227">
        <v>199.07</v>
      </c>
      <c r="J47" s="227">
        <v>115.211</v>
      </c>
      <c r="K47" s="162">
        <f t="shared" si="1"/>
        <v>57.874616968905414</v>
      </c>
      <c r="M47" s="20">
        <f t="shared" si="2"/>
        <v>100000</v>
      </c>
      <c r="N47" s="20">
        <f t="shared" si="3"/>
        <v>199070</v>
      </c>
      <c r="O47" s="20">
        <f t="shared" si="4"/>
        <v>115211</v>
      </c>
    </row>
    <row r="48" spans="1:16" ht="12.75" x14ac:dyDescent="0.2">
      <c r="A48" s="32">
        <v>40</v>
      </c>
      <c r="B48" s="215" t="s">
        <v>79</v>
      </c>
      <c r="C48" s="36">
        <v>807</v>
      </c>
      <c r="D48" s="35" t="s">
        <v>27</v>
      </c>
      <c r="E48" s="35" t="s">
        <v>170</v>
      </c>
      <c r="F48" s="35" t="s">
        <v>80</v>
      </c>
      <c r="G48" s="35" t="s">
        <v>81</v>
      </c>
      <c r="H48" s="227">
        <v>98.546000000000006</v>
      </c>
      <c r="I48" s="227">
        <v>101.65</v>
      </c>
      <c r="J48" s="227">
        <v>101.65</v>
      </c>
      <c r="K48" s="162">
        <f t="shared" si="1"/>
        <v>100</v>
      </c>
      <c r="M48" s="20">
        <f t="shared" si="2"/>
        <v>98546</v>
      </c>
      <c r="N48" s="20">
        <f t="shared" si="3"/>
        <v>101650</v>
      </c>
      <c r="O48" s="20">
        <f t="shared" si="4"/>
        <v>101650</v>
      </c>
    </row>
    <row r="49" spans="1:17" ht="12.75" x14ac:dyDescent="0.2">
      <c r="A49" s="32">
        <v>41</v>
      </c>
      <c r="B49" s="163" t="s">
        <v>217</v>
      </c>
      <c r="C49" s="152">
        <v>807</v>
      </c>
      <c r="D49" s="154" t="s">
        <v>218</v>
      </c>
      <c r="E49" s="152" t="s">
        <v>154</v>
      </c>
      <c r="F49" s="152" t="s">
        <v>154</v>
      </c>
      <c r="G49" s="35"/>
      <c r="H49" s="227">
        <f t="shared" ref="H49:J51" si="6">H50</f>
        <v>10</v>
      </c>
      <c r="I49" s="227">
        <f t="shared" si="6"/>
        <v>10</v>
      </c>
      <c r="J49" s="227">
        <f t="shared" si="6"/>
        <v>0</v>
      </c>
      <c r="K49" s="162">
        <f t="shared" si="1"/>
        <v>0</v>
      </c>
      <c r="M49" s="20">
        <f t="shared" si="2"/>
        <v>10000</v>
      </c>
      <c r="N49" s="20">
        <f t="shared" si="3"/>
        <v>10000</v>
      </c>
      <c r="O49" s="20">
        <f t="shared" si="4"/>
        <v>0</v>
      </c>
    </row>
    <row r="50" spans="1:17" ht="12.75" x14ac:dyDescent="0.2">
      <c r="A50" s="32">
        <v>42</v>
      </c>
      <c r="B50" s="64" t="s">
        <v>142</v>
      </c>
      <c r="C50" s="152">
        <v>807</v>
      </c>
      <c r="D50" s="154" t="s">
        <v>218</v>
      </c>
      <c r="E50" s="152">
        <v>6400000000</v>
      </c>
      <c r="F50" s="152" t="s">
        <v>154</v>
      </c>
      <c r="G50" s="35"/>
      <c r="H50" s="227">
        <f t="shared" si="6"/>
        <v>10</v>
      </c>
      <c r="I50" s="227">
        <f t="shared" si="6"/>
        <v>10</v>
      </c>
      <c r="J50" s="227">
        <f t="shared" si="6"/>
        <v>0</v>
      </c>
      <c r="K50" s="162">
        <f t="shared" si="1"/>
        <v>0</v>
      </c>
      <c r="M50" s="20">
        <f t="shared" si="2"/>
        <v>10000</v>
      </c>
      <c r="N50" s="20">
        <f t="shared" si="3"/>
        <v>10000</v>
      </c>
      <c r="O50" s="20">
        <f t="shared" si="4"/>
        <v>0</v>
      </c>
    </row>
    <row r="51" spans="1:17" ht="25.5" x14ac:dyDescent="0.2">
      <c r="A51" s="32">
        <v>43</v>
      </c>
      <c r="B51" s="151" t="s">
        <v>219</v>
      </c>
      <c r="C51" s="152">
        <v>807</v>
      </c>
      <c r="D51" s="154" t="s">
        <v>218</v>
      </c>
      <c r="E51" s="152">
        <v>6400080000</v>
      </c>
      <c r="F51" s="152" t="s">
        <v>154</v>
      </c>
      <c r="G51" s="35"/>
      <c r="H51" s="231">
        <f t="shared" si="6"/>
        <v>10</v>
      </c>
      <c r="I51" s="232">
        <f t="shared" si="6"/>
        <v>10</v>
      </c>
      <c r="J51" s="232">
        <f t="shared" si="6"/>
        <v>0</v>
      </c>
      <c r="K51" s="162">
        <f t="shared" si="1"/>
        <v>0</v>
      </c>
      <c r="M51" s="20">
        <f t="shared" si="2"/>
        <v>10000</v>
      </c>
      <c r="N51" s="20">
        <f t="shared" si="3"/>
        <v>10000</v>
      </c>
      <c r="O51" s="20">
        <f t="shared" si="4"/>
        <v>0</v>
      </c>
    </row>
    <row r="52" spans="1:17" ht="25.5" x14ac:dyDescent="0.2">
      <c r="A52" s="32">
        <v>44</v>
      </c>
      <c r="B52" s="151" t="s">
        <v>220</v>
      </c>
      <c r="C52" s="152">
        <v>807</v>
      </c>
      <c r="D52" s="154" t="s">
        <v>218</v>
      </c>
      <c r="E52" s="152">
        <v>6400080210</v>
      </c>
      <c r="F52" s="152" t="s">
        <v>154</v>
      </c>
      <c r="G52" s="35"/>
      <c r="H52" s="227">
        <f>SUM(H53)</f>
        <v>10</v>
      </c>
      <c r="I52" s="230">
        <f>SUM(I53)</f>
        <v>10</v>
      </c>
      <c r="J52" s="230">
        <f>SUM(J53:J54)</f>
        <v>0</v>
      </c>
      <c r="K52" s="162">
        <f t="shared" si="1"/>
        <v>0</v>
      </c>
      <c r="M52" s="20">
        <f t="shared" si="2"/>
        <v>10000</v>
      </c>
      <c r="N52" s="20">
        <f t="shared" si="3"/>
        <v>10000</v>
      </c>
      <c r="O52" s="20">
        <f t="shared" si="4"/>
        <v>0</v>
      </c>
    </row>
    <row r="53" spans="1:17" ht="12.75" x14ac:dyDescent="0.2">
      <c r="A53" s="32">
        <v>45</v>
      </c>
      <c r="B53" s="151" t="s">
        <v>221</v>
      </c>
      <c r="C53" s="152">
        <v>807</v>
      </c>
      <c r="D53" s="154" t="s">
        <v>218</v>
      </c>
      <c r="E53" s="152">
        <v>6400080210</v>
      </c>
      <c r="F53" s="152">
        <v>800</v>
      </c>
      <c r="G53" s="35"/>
      <c r="H53" s="227">
        <f>H54</f>
        <v>10</v>
      </c>
      <c r="I53" s="227">
        <f>I54</f>
        <v>10</v>
      </c>
      <c r="J53" s="230">
        <f>J54</f>
        <v>0</v>
      </c>
      <c r="K53" s="162">
        <f t="shared" si="1"/>
        <v>0</v>
      </c>
      <c r="M53" s="20">
        <f t="shared" si="2"/>
        <v>10000</v>
      </c>
      <c r="N53" s="20">
        <f t="shared" si="3"/>
        <v>10000</v>
      </c>
      <c r="O53" s="20">
        <f t="shared" si="4"/>
        <v>0</v>
      </c>
    </row>
    <row r="54" spans="1:17" ht="12.75" x14ac:dyDescent="0.2">
      <c r="A54" s="32">
        <v>46</v>
      </c>
      <c r="B54" s="151" t="s">
        <v>222</v>
      </c>
      <c r="C54" s="152">
        <v>807</v>
      </c>
      <c r="D54" s="154" t="s">
        <v>218</v>
      </c>
      <c r="E54" s="152">
        <v>6400080210</v>
      </c>
      <c r="F54" s="152">
        <v>870</v>
      </c>
      <c r="G54" s="35" t="s">
        <v>209</v>
      </c>
      <c r="H54" s="227">
        <v>10</v>
      </c>
      <c r="I54" s="227">
        <v>10</v>
      </c>
      <c r="J54" s="230">
        <v>0</v>
      </c>
      <c r="K54" s="162">
        <f t="shared" si="1"/>
        <v>0</v>
      </c>
      <c r="M54" s="20">
        <f t="shared" si="2"/>
        <v>10000</v>
      </c>
      <c r="N54" s="20">
        <f t="shared" si="3"/>
        <v>10000</v>
      </c>
      <c r="O54" s="20">
        <f t="shared" si="4"/>
        <v>0</v>
      </c>
    </row>
    <row r="55" spans="1:17" ht="12.75" x14ac:dyDescent="0.2">
      <c r="A55" s="32">
        <v>47</v>
      </c>
      <c r="B55" s="43" t="s">
        <v>143</v>
      </c>
      <c r="C55" s="39">
        <v>807</v>
      </c>
      <c r="D55" s="38" t="s">
        <v>57</v>
      </c>
      <c r="E55" s="38"/>
      <c r="F55" s="38"/>
      <c r="G55" s="135"/>
      <c r="H55" s="231">
        <f t="shared" ref="H55:J56" si="7">H56</f>
        <v>1854.38347</v>
      </c>
      <c r="I55" s="231">
        <f t="shared" si="7"/>
        <v>1963.9456700000001</v>
      </c>
      <c r="J55" s="231">
        <f t="shared" si="7"/>
        <v>1343.9083500000002</v>
      </c>
      <c r="K55" s="162">
        <f t="shared" si="1"/>
        <v>68.428998343930772</v>
      </c>
      <c r="M55" s="20">
        <f t="shared" si="2"/>
        <v>1854383.47</v>
      </c>
      <c r="N55" s="20">
        <f t="shared" si="3"/>
        <v>1963945.6700000002</v>
      </c>
      <c r="O55" s="20">
        <f t="shared" si="4"/>
        <v>1343908.35</v>
      </c>
      <c r="P55" s="20">
        <f>N55+N71</f>
        <v>1979028.6700000002</v>
      </c>
      <c r="Q55" s="20">
        <f>O55+O71</f>
        <v>1345660.86</v>
      </c>
    </row>
    <row r="56" spans="1:17" ht="12.75" x14ac:dyDescent="0.2">
      <c r="A56" s="32">
        <v>48</v>
      </c>
      <c r="B56" s="151" t="s">
        <v>142</v>
      </c>
      <c r="C56" s="33">
        <v>807</v>
      </c>
      <c r="D56" s="37" t="s">
        <v>57</v>
      </c>
      <c r="E56" s="37" t="s">
        <v>213</v>
      </c>
      <c r="F56" s="38"/>
      <c r="G56" s="135"/>
      <c r="H56" s="231">
        <f t="shared" si="7"/>
        <v>1854.38347</v>
      </c>
      <c r="I56" s="231">
        <f t="shared" si="7"/>
        <v>1963.9456700000001</v>
      </c>
      <c r="J56" s="231">
        <f t="shared" si="7"/>
        <v>1343.9083500000002</v>
      </c>
      <c r="K56" s="162">
        <f t="shared" si="1"/>
        <v>68.428998343930772</v>
      </c>
      <c r="M56" s="20">
        <f t="shared" si="2"/>
        <v>1854383.47</v>
      </c>
      <c r="N56" s="20">
        <f t="shared" si="3"/>
        <v>1963945.6700000002</v>
      </c>
      <c r="O56" s="20">
        <f t="shared" si="4"/>
        <v>1343908.35</v>
      </c>
    </row>
    <row r="57" spans="1:17" ht="14.25" customHeight="1" x14ac:dyDescent="0.2">
      <c r="A57" s="32">
        <v>49</v>
      </c>
      <c r="B57" s="151" t="s">
        <v>223</v>
      </c>
      <c r="C57" s="36">
        <v>807</v>
      </c>
      <c r="D57" s="35" t="s">
        <v>57</v>
      </c>
      <c r="E57" s="35" t="s">
        <v>213</v>
      </c>
      <c r="F57" s="35" t="s">
        <v>106</v>
      </c>
      <c r="G57" s="35"/>
      <c r="H57" s="227">
        <f>SUM(H58:H70)</f>
        <v>1854.38347</v>
      </c>
      <c r="I57" s="227">
        <f>SUM(I58:I70)</f>
        <v>1963.9456700000001</v>
      </c>
      <c r="J57" s="227">
        <f>SUM(J58:J70)</f>
        <v>1343.9083500000002</v>
      </c>
      <c r="K57" s="162">
        <f t="shared" si="1"/>
        <v>68.428998343930772</v>
      </c>
      <c r="M57" s="20">
        <f t="shared" si="2"/>
        <v>1854383.47</v>
      </c>
      <c r="N57" s="20">
        <f t="shared" si="3"/>
        <v>1963945.6700000002</v>
      </c>
      <c r="O57" s="20">
        <f t="shared" si="4"/>
        <v>1343908.35</v>
      </c>
    </row>
    <row r="58" spans="1:17" ht="12.75" x14ac:dyDescent="0.2">
      <c r="A58" s="32">
        <v>50</v>
      </c>
      <c r="B58" s="215" t="s">
        <v>32</v>
      </c>
      <c r="C58" s="36">
        <v>807</v>
      </c>
      <c r="D58" s="35" t="s">
        <v>57</v>
      </c>
      <c r="E58" s="35" t="s">
        <v>224</v>
      </c>
      <c r="F58" s="35" t="s">
        <v>67</v>
      </c>
      <c r="G58" s="35" t="s">
        <v>37</v>
      </c>
      <c r="H58" s="227">
        <v>1245.34752</v>
      </c>
      <c r="I58" s="227">
        <v>1240.7912699999999</v>
      </c>
      <c r="J58" s="227">
        <v>843.95533999999998</v>
      </c>
      <c r="K58" s="162">
        <f t="shared" si="1"/>
        <v>68.017511116112217</v>
      </c>
      <c r="M58" s="20">
        <f t="shared" si="2"/>
        <v>1245347.52</v>
      </c>
      <c r="N58" s="20">
        <f t="shared" si="3"/>
        <v>1240791.27</v>
      </c>
      <c r="O58" s="20">
        <f t="shared" si="4"/>
        <v>843955.34</v>
      </c>
      <c r="P58" s="20">
        <f>O58+O62</f>
        <v>848511.59</v>
      </c>
    </row>
    <row r="59" spans="1:17" ht="12.75" x14ac:dyDescent="0.2">
      <c r="A59" s="32">
        <v>51</v>
      </c>
      <c r="B59" s="215" t="s">
        <v>39</v>
      </c>
      <c r="C59" s="36">
        <v>807</v>
      </c>
      <c r="D59" s="35" t="s">
        <v>57</v>
      </c>
      <c r="E59" s="35" t="s">
        <v>224</v>
      </c>
      <c r="F59" s="35" t="s">
        <v>171</v>
      </c>
      <c r="G59" s="35" t="s">
        <v>38</v>
      </c>
      <c r="H59" s="227">
        <v>376.09494999999998</v>
      </c>
      <c r="I59" s="227">
        <v>376.09494999999998</v>
      </c>
      <c r="J59" s="227">
        <v>238.22891000000001</v>
      </c>
      <c r="K59" s="162">
        <f t="shared" si="1"/>
        <v>63.34275692880216</v>
      </c>
      <c r="M59" s="20">
        <f t="shared" si="2"/>
        <v>376094.95</v>
      </c>
      <c r="N59" s="20">
        <f t="shared" si="3"/>
        <v>376094.95</v>
      </c>
      <c r="O59" s="20">
        <f t="shared" si="4"/>
        <v>238228.91</v>
      </c>
    </row>
    <row r="60" spans="1:17" ht="12.75" x14ac:dyDescent="0.2">
      <c r="A60" s="32">
        <v>52</v>
      </c>
      <c r="B60" s="215" t="s">
        <v>32</v>
      </c>
      <c r="C60" s="36">
        <v>807</v>
      </c>
      <c r="D60" s="35" t="s">
        <v>57</v>
      </c>
      <c r="E60" s="35" t="s">
        <v>482</v>
      </c>
      <c r="F60" s="35" t="s">
        <v>67</v>
      </c>
      <c r="G60" s="35" t="s">
        <v>37</v>
      </c>
      <c r="H60" s="227">
        <v>0</v>
      </c>
      <c r="I60" s="227">
        <v>28.616160000000001</v>
      </c>
      <c r="J60" s="227">
        <v>10.150410000000001</v>
      </c>
      <c r="K60" s="162">
        <f>J60/I60*100</f>
        <v>35.470901756210473</v>
      </c>
      <c r="M60" s="20"/>
      <c r="N60" s="20">
        <f>I60*1000</f>
        <v>28616.16</v>
      </c>
      <c r="O60" s="20">
        <f>J60*1000</f>
        <v>10150.410000000002</v>
      </c>
    </row>
    <row r="61" spans="1:17" ht="12.75" x14ac:dyDescent="0.2">
      <c r="A61" s="32">
        <v>53</v>
      </c>
      <c r="B61" s="215" t="s">
        <v>39</v>
      </c>
      <c r="C61" s="36">
        <v>807</v>
      </c>
      <c r="D61" s="35" t="s">
        <v>57</v>
      </c>
      <c r="E61" s="35" t="s">
        <v>482</v>
      </c>
      <c r="F61" s="35" t="s">
        <v>171</v>
      </c>
      <c r="G61" s="35" t="s">
        <v>38</v>
      </c>
      <c r="H61" s="227">
        <v>0</v>
      </c>
      <c r="I61" s="227">
        <v>8.64208</v>
      </c>
      <c r="J61" s="227">
        <v>2.8378800000000002</v>
      </c>
      <c r="K61" s="162">
        <f>J61/I61*100</f>
        <v>32.837927906244794</v>
      </c>
      <c r="M61" s="20"/>
      <c r="N61" s="20">
        <f>I61*1000</f>
        <v>8642.08</v>
      </c>
      <c r="O61" s="20">
        <f>J61*1000</f>
        <v>2837.88</v>
      </c>
    </row>
    <row r="62" spans="1:17" ht="12.75" x14ac:dyDescent="0.2">
      <c r="A62" s="32">
        <v>54</v>
      </c>
      <c r="B62" s="215" t="s">
        <v>269</v>
      </c>
      <c r="C62" s="36">
        <v>807</v>
      </c>
      <c r="D62" s="35" t="s">
        <v>57</v>
      </c>
      <c r="E62" s="35" t="s">
        <v>224</v>
      </c>
      <c r="F62" s="35" t="s">
        <v>67</v>
      </c>
      <c r="G62" s="35" t="s">
        <v>270</v>
      </c>
      <c r="H62" s="227">
        <v>0</v>
      </c>
      <c r="I62" s="227">
        <v>4.5562500000000004</v>
      </c>
      <c r="J62" s="227">
        <v>4.5562500000000004</v>
      </c>
      <c r="K62" s="162">
        <f t="shared" si="1"/>
        <v>100</v>
      </c>
      <c r="M62" s="20">
        <f t="shared" si="2"/>
        <v>0</v>
      </c>
      <c r="N62" s="20">
        <f t="shared" si="3"/>
        <v>4556.25</v>
      </c>
      <c r="O62" s="20">
        <f t="shared" si="4"/>
        <v>4556.25</v>
      </c>
    </row>
    <row r="63" spans="1:17" ht="12.75" x14ac:dyDescent="0.2">
      <c r="A63" s="32">
        <v>55</v>
      </c>
      <c r="B63" s="215" t="s">
        <v>33</v>
      </c>
      <c r="C63" s="36">
        <v>807</v>
      </c>
      <c r="D63" s="35" t="s">
        <v>57</v>
      </c>
      <c r="E63" s="35" t="s">
        <v>224</v>
      </c>
      <c r="F63" s="35" t="s">
        <v>68</v>
      </c>
      <c r="G63" s="35" t="s">
        <v>41</v>
      </c>
      <c r="H63" s="227">
        <v>58.527000000000001</v>
      </c>
      <c r="I63" s="227">
        <v>62.830959999999997</v>
      </c>
      <c r="J63" s="227">
        <v>41.815559999999998</v>
      </c>
      <c r="K63" s="162">
        <f t="shared" si="1"/>
        <v>66.55247667710313</v>
      </c>
      <c r="M63" s="20">
        <f t="shared" si="2"/>
        <v>58527</v>
      </c>
      <c r="N63" s="20">
        <f t="shared" si="3"/>
        <v>62830.96</v>
      </c>
      <c r="O63" s="20">
        <f t="shared" si="4"/>
        <v>41815.56</v>
      </c>
    </row>
    <row r="64" spans="1:17" ht="12.75" x14ac:dyDescent="0.2">
      <c r="A64" s="32">
        <v>56</v>
      </c>
      <c r="B64" s="215" t="s">
        <v>43</v>
      </c>
      <c r="C64" s="36">
        <v>807</v>
      </c>
      <c r="D64" s="35" t="s">
        <v>57</v>
      </c>
      <c r="E64" s="35" t="s">
        <v>224</v>
      </c>
      <c r="F64" s="35" t="s">
        <v>68</v>
      </c>
      <c r="G64" s="35" t="s">
        <v>44</v>
      </c>
      <c r="H64" s="227">
        <v>6</v>
      </c>
      <c r="I64" s="227">
        <v>6</v>
      </c>
      <c r="J64" s="227">
        <v>3.05</v>
      </c>
      <c r="K64" s="162">
        <f t="shared" si="1"/>
        <v>50.833333333333329</v>
      </c>
      <c r="M64" s="20">
        <f t="shared" si="2"/>
        <v>6000</v>
      </c>
      <c r="N64" s="20">
        <f t="shared" si="3"/>
        <v>6000</v>
      </c>
      <c r="O64" s="20">
        <f t="shared" si="4"/>
        <v>3050</v>
      </c>
    </row>
    <row r="65" spans="1:15" ht="12.75" x14ac:dyDescent="0.2">
      <c r="A65" s="32">
        <v>57</v>
      </c>
      <c r="B65" s="215" t="s">
        <v>45</v>
      </c>
      <c r="C65" s="36">
        <v>807</v>
      </c>
      <c r="D65" s="35" t="s">
        <v>57</v>
      </c>
      <c r="E65" s="35" t="s">
        <v>224</v>
      </c>
      <c r="F65" s="35" t="s">
        <v>68</v>
      </c>
      <c r="G65" s="35" t="s">
        <v>46</v>
      </c>
      <c r="H65" s="227">
        <v>168.41399999999999</v>
      </c>
      <c r="I65" s="227">
        <v>231.41399999999999</v>
      </c>
      <c r="J65" s="227">
        <v>199.31399999999999</v>
      </c>
      <c r="K65" s="162">
        <f t="shared" si="1"/>
        <v>86.128756255023461</v>
      </c>
      <c r="M65" s="20">
        <f t="shared" si="2"/>
        <v>168414</v>
      </c>
      <c r="N65" s="20">
        <f t="shared" si="3"/>
        <v>231414</v>
      </c>
      <c r="O65" s="20">
        <f t="shared" si="4"/>
        <v>199314</v>
      </c>
    </row>
    <row r="66" spans="1:15" ht="12.75" x14ac:dyDescent="0.2">
      <c r="A66" s="32">
        <v>58</v>
      </c>
      <c r="B66" s="215" t="s">
        <v>210</v>
      </c>
      <c r="C66" s="36">
        <v>807</v>
      </c>
      <c r="D66" s="35" t="s">
        <v>57</v>
      </c>
      <c r="E66" s="35" t="s">
        <v>224</v>
      </c>
      <c r="F66" s="35" t="s">
        <v>196</v>
      </c>
      <c r="G66" s="35" t="s">
        <v>209</v>
      </c>
      <c r="H66" s="227">
        <v>0</v>
      </c>
      <c r="I66" s="227">
        <v>0</v>
      </c>
      <c r="J66" s="227">
        <v>0</v>
      </c>
      <c r="K66" s="162">
        <v>0</v>
      </c>
      <c r="M66" s="20">
        <f t="shared" si="2"/>
        <v>0</v>
      </c>
      <c r="N66" s="20">
        <f t="shared" si="3"/>
        <v>0</v>
      </c>
      <c r="O66" s="20">
        <f t="shared" si="4"/>
        <v>0</v>
      </c>
    </row>
    <row r="67" spans="1:15" ht="12.75" x14ac:dyDescent="0.2">
      <c r="A67" s="32">
        <v>59</v>
      </c>
      <c r="B67" s="215" t="s">
        <v>35</v>
      </c>
      <c r="C67" s="36">
        <v>807</v>
      </c>
      <c r="D67" s="35" t="s">
        <v>57</v>
      </c>
      <c r="E67" s="35" t="s">
        <v>224</v>
      </c>
      <c r="F67" s="35" t="s">
        <v>68</v>
      </c>
      <c r="G67" s="35" t="s">
        <v>49</v>
      </c>
      <c r="H67" s="227">
        <v>0</v>
      </c>
      <c r="I67" s="227">
        <v>0</v>
      </c>
      <c r="J67" s="227">
        <v>0</v>
      </c>
      <c r="K67" s="162">
        <v>0</v>
      </c>
      <c r="M67" s="20">
        <f t="shared" si="2"/>
        <v>0</v>
      </c>
      <c r="N67" s="20">
        <f t="shared" si="3"/>
        <v>0</v>
      </c>
      <c r="O67" s="20">
        <f t="shared" si="4"/>
        <v>0</v>
      </c>
    </row>
    <row r="68" spans="1:15" ht="12.75" x14ac:dyDescent="0.2">
      <c r="A68" s="32">
        <v>60</v>
      </c>
      <c r="B68" s="215" t="s">
        <v>52</v>
      </c>
      <c r="C68" s="36">
        <v>807</v>
      </c>
      <c r="D68" s="35" t="s">
        <v>57</v>
      </c>
      <c r="E68" s="35" t="s">
        <v>224</v>
      </c>
      <c r="F68" s="35" t="s">
        <v>68</v>
      </c>
      <c r="G68" s="35" t="s">
        <v>40</v>
      </c>
      <c r="H68" s="227">
        <v>0</v>
      </c>
      <c r="I68" s="227">
        <v>5</v>
      </c>
      <c r="J68" s="227">
        <v>0</v>
      </c>
      <c r="K68" s="162">
        <v>0</v>
      </c>
      <c r="M68" s="20">
        <f t="shared" si="2"/>
        <v>0</v>
      </c>
      <c r="N68" s="20">
        <f t="shared" si="3"/>
        <v>5000</v>
      </c>
      <c r="O68" s="20">
        <f t="shared" si="4"/>
        <v>0</v>
      </c>
    </row>
    <row r="69" spans="1:15" ht="12.75" x14ac:dyDescent="0.2">
      <c r="A69" s="32">
        <v>61</v>
      </c>
      <c r="B69" s="215" t="s">
        <v>272</v>
      </c>
      <c r="C69" s="36">
        <v>807</v>
      </c>
      <c r="D69" s="35" t="s">
        <v>57</v>
      </c>
      <c r="E69" s="35" t="s">
        <v>259</v>
      </c>
      <c r="F69" s="35" t="s">
        <v>172</v>
      </c>
      <c r="G69" s="35" t="s">
        <v>271</v>
      </c>
      <c r="H69" s="227">
        <v>0</v>
      </c>
      <c r="I69" s="227">
        <v>0</v>
      </c>
      <c r="J69" s="227">
        <v>0</v>
      </c>
      <c r="K69" s="162">
        <v>0</v>
      </c>
      <c r="M69" s="20">
        <f t="shared" si="2"/>
        <v>0</v>
      </c>
      <c r="N69" s="20">
        <f t="shared" si="3"/>
        <v>0</v>
      </c>
      <c r="O69" s="20">
        <f t="shared" si="4"/>
        <v>0</v>
      </c>
    </row>
    <row r="70" spans="1:15" ht="12.75" x14ac:dyDescent="0.2">
      <c r="A70" s="32">
        <v>62</v>
      </c>
      <c r="B70" s="215" t="s">
        <v>391</v>
      </c>
      <c r="C70" s="36">
        <v>807</v>
      </c>
      <c r="D70" s="35" t="s">
        <v>57</v>
      </c>
      <c r="E70" s="35" t="s">
        <v>392</v>
      </c>
      <c r="F70" s="35" t="s">
        <v>172</v>
      </c>
      <c r="G70" s="35" t="s">
        <v>271</v>
      </c>
      <c r="H70" s="227">
        <v>0</v>
      </c>
      <c r="I70" s="227">
        <v>0</v>
      </c>
      <c r="J70" s="227">
        <v>0</v>
      </c>
      <c r="K70" s="162">
        <v>0</v>
      </c>
      <c r="M70" s="20">
        <f t="shared" si="2"/>
        <v>0</v>
      </c>
      <c r="N70" s="20">
        <f t="shared" si="3"/>
        <v>0</v>
      </c>
      <c r="O70" s="20">
        <f t="shared" si="4"/>
        <v>0</v>
      </c>
    </row>
    <row r="71" spans="1:15" ht="12.75" x14ac:dyDescent="0.2">
      <c r="A71" s="32">
        <v>63</v>
      </c>
      <c r="B71" s="44" t="s">
        <v>66</v>
      </c>
      <c r="C71" s="36">
        <v>807</v>
      </c>
      <c r="D71" s="35" t="s">
        <v>57</v>
      </c>
      <c r="E71" s="35" t="s">
        <v>174</v>
      </c>
      <c r="F71" s="135"/>
      <c r="G71" s="135"/>
      <c r="H71" s="233">
        <f>H72</f>
        <v>14.734</v>
      </c>
      <c r="I71" s="233">
        <f>I72</f>
        <v>15.083</v>
      </c>
      <c r="J71" s="234">
        <f>J72</f>
        <v>1.75251</v>
      </c>
      <c r="K71" s="162">
        <f t="shared" si="1"/>
        <v>11.619107604587947</v>
      </c>
      <c r="M71" s="20">
        <f t="shared" si="2"/>
        <v>14734</v>
      </c>
      <c r="N71" s="20">
        <f t="shared" si="3"/>
        <v>15083</v>
      </c>
      <c r="O71" s="20">
        <f t="shared" si="4"/>
        <v>1752.51</v>
      </c>
    </row>
    <row r="72" spans="1:15" ht="12.75" customHeight="1" x14ac:dyDescent="0.2">
      <c r="A72" s="32">
        <v>64</v>
      </c>
      <c r="B72" s="215" t="s">
        <v>76</v>
      </c>
      <c r="C72" s="36">
        <v>807</v>
      </c>
      <c r="D72" s="35" t="s">
        <v>57</v>
      </c>
      <c r="E72" s="35" t="s">
        <v>174</v>
      </c>
      <c r="F72" s="35" t="s">
        <v>73</v>
      </c>
      <c r="G72" s="35"/>
      <c r="H72" s="227">
        <f>SUM(H73)</f>
        <v>14.734</v>
      </c>
      <c r="I72" s="227">
        <f>SUM(I73)</f>
        <v>15.083</v>
      </c>
      <c r="J72" s="230">
        <f>SUM(J73)</f>
        <v>1.75251</v>
      </c>
      <c r="K72" s="162">
        <f t="shared" si="1"/>
        <v>11.619107604587947</v>
      </c>
      <c r="M72" s="20">
        <f t="shared" si="2"/>
        <v>14734</v>
      </c>
      <c r="N72" s="20">
        <f t="shared" si="3"/>
        <v>15083</v>
      </c>
      <c r="O72" s="20">
        <f t="shared" si="4"/>
        <v>1752.51</v>
      </c>
    </row>
    <row r="73" spans="1:15" ht="12.75" x14ac:dyDescent="0.2">
      <c r="A73" s="32">
        <v>65</v>
      </c>
      <c r="B73" s="215" t="s">
        <v>52</v>
      </c>
      <c r="C73" s="36">
        <v>807</v>
      </c>
      <c r="D73" s="35" t="s">
        <v>57</v>
      </c>
      <c r="E73" s="35" t="s">
        <v>174</v>
      </c>
      <c r="F73" s="35" t="s">
        <v>68</v>
      </c>
      <c r="G73" s="35" t="s">
        <v>40</v>
      </c>
      <c r="H73" s="227">
        <v>14.734</v>
      </c>
      <c r="I73" s="227">
        <v>15.083</v>
      </c>
      <c r="J73" s="227">
        <v>1.75251</v>
      </c>
      <c r="K73" s="162">
        <f t="shared" si="1"/>
        <v>11.619107604587947</v>
      </c>
      <c r="M73" s="20">
        <f t="shared" si="2"/>
        <v>14734</v>
      </c>
      <c r="N73" s="20">
        <f t="shared" si="3"/>
        <v>15083</v>
      </c>
      <c r="O73" s="20">
        <f t="shared" si="4"/>
        <v>1752.51</v>
      </c>
    </row>
    <row r="74" spans="1:15" ht="12.75" x14ac:dyDescent="0.2">
      <c r="A74" s="32">
        <v>66</v>
      </c>
      <c r="B74" s="164" t="s">
        <v>145</v>
      </c>
      <c r="C74" s="165">
        <v>807</v>
      </c>
      <c r="D74" s="165" t="s">
        <v>146</v>
      </c>
      <c r="E74" s="35"/>
      <c r="F74" s="35"/>
      <c r="G74" s="35"/>
      <c r="H74" s="227">
        <f t="shared" ref="H74:J76" si="8">H75</f>
        <v>443.13299999999998</v>
      </c>
      <c r="I74" s="227">
        <f t="shared" si="8"/>
        <v>522.63699999999994</v>
      </c>
      <c r="J74" s="227">
        <f t="shared" si="8"/>
        <v>278.65364</v>
      </c>
      <c r="K74" s="162">
        <f t="shared" si="1"/>
        <v>53.31686045955415</v>
      </c>
      <c r="M74" s="20">
        <f t="shared" ref="M74:M137" si="9">H74*1000</f>
        <v>443133</v>
      </c>
      <c r="N74" s="20">
        <f t="shared" ref="N74:N137" si="10">I74*1000</f>
        <v>522636.99999999994</v>
      </c>
      <c r="O74" s="20">
        <f t="shared" ref="O74:O137" si="11">J74*1000</f>
        <v>278653.64</v>
      </c>
    </row>
    <row r="75" spans="1:15" ht="12.75" x14ac:dyDescent="0.2">
      <c r="A75" s="32">
        <v>67</v>
      </c>
      <c r="B75" s="45" t="s">
        <v>147</v>
      </c>
      <c r="C75" s="46" t="s">
        <v>129</v>
      </c>
      <c r="D75" s="47" t="s">
        <v>29</v>
      </c>
      <c r="E75" s="35"/>
      <c r="F75" s="35"/>
      <c r="G75" s="35"/>
      <c r="H75" s="227">
        <f t="shared" si="8"/>
        <v>443.13299999999998</v>
      </c>
      <c r="I75" s="227">
        <f t="shared" si="8"/>
        <v>522.63699999999994</v>
      </c>
      <c r="J75" s="230">
        <f t="shared" si="8"/>
        <v>278.65364</v>
      </c>
      <c r="K75" s="162">
        <f t="shared" si="1"/>
        <v>53.31686045955415</v>
      </c>
      <c r="M75" s="20">
        <f t="shared" si="9"/>
        <v>443133</v>
      </c>
      <c r="N75" s="20">
        <f t="shared" si="10"/>
        <v>522636.99999999994</v>
      </c>
      <c r="O75" s="20">
        <f t="shared" si="11"/>
        <v>278653.64</v>
      </c>
    </row>
    <row r="76" spans="1:15" ht="25.5" x14ac:dyDescent="0.2">
      <c r="A76" s="32">
        <v>68</v>
      </c>
      <c r="B76" s="166" t="s">
        <v>21</v>
      </c>
      <c r="C76" s="36">
        <v>807</v>
      </c>
      <c r="D76" s="35" t="s">
        <v>29</v>
      </c>
      <c r="E76" s="35" t="s">
        <v>175</v>
      </c>
      <c r="F76" s="35"/>
      <c r="G76" s="35"/>
      <c r="H76" s="227">
        <f t="shared" si="8"/>
        <v>443.13299999999998</v>
      </c>
      <c r="I76" s="227">
        <f t="shared" si="8"/>
        <v>522.63699999999994</v>
      </c>
      <c r="J76" s="230">
        <f t="shared" si="8"/>
        <v>278.65364</v>
      </c>
      <c r="K76" s="162">
        <f t="shared" si="1"/>
        <v>53.31686045955415</v>
      </c>
      <c r="M76" s="20">
        <f t="shared" si="9"/>
        <v>443133</v>
      </c>
      <c r="N76" s="20">
        <f t="shared" si="10"/>
        <v>522636.99999999994</v>
      </c>
      <c r="O76" s="20">
        <f t="shared" si="11"/>
        <v>278653.64</v>
      </c>
    </row>
    <row r="77" spans="1:15" ht="12.75" x14ac:dyDescent="0.2">
      <c r="A77" s="32">
        <v>69</v>
      </c>
      <c r="B77" s="215" t="s">
        <v>144</v>
      </c>
      <c r="C77" s="36">
        <v>807</v>
      </c>
      <c r="D77" s="35" t="s">
        <v>29</v>
      </c>
      <c r="E77" s="35" t="s">
        <v>175</v>
      </c>
      <c r="F77" s="35" t="s">
        <v>74</v>
      </c>
      <c r="G77" s="35"/>
      <c r="H77" s="227">
        <f>SUM(H78:H84)</f>
        <v>443.13299999999998</v>
      </c>
      <c r="I77" s="227">
        <f>SUM(I78:I84)</f>
        <v>522.63699999999994</v>
      </c>
      <c r="J77" s="227">
        <f>SUM(J78:J84)</f>
        <v>278.65364</v>
      </c>
      <c r="K77" s="162">
        <f t="shared" si="1"/>
        <v>53.31686045955415</v>
      </c>
      <c r="M77" s="20">
        <f t="shared" si="9"/>
        <v>443133</v>
      </c>
      <c r="N77" s="20">
        <f t="shared" si="10"/>
        <v>522636.99999999994</v>
      </c>
      <c r="O77" s="20">
        <f t="shared" si="11"/>
        <v>278653.64</v>
      </c>
    </row>
    <row r="78" spans="1:15" ht="15.75" customHeight="1" x14ac:dyDescent="0.2">
      <c r="A78" s="32">
        <v>70</v>
      </c>
      <c r="B78" s="215" t="s">
        <v>32</v>
      </c>
      <c r="C78" s="36">
        <v>807</v>
      </c>
      <c r="D78" s="35" t="s">
        <v>29</v>
      </c>
      <c r="E78" s="35" t="s">
        <v>175</v>
      </c>
      <c r="F78" s="35" t="s">
        <v>67</v>
      </c>
      <c r="G78" s="35" t="s">
        <v>37</v>
      </c>
      <c r="H78" s="227">
        <v>332.66744</v>
      </c>
      <c r="I78" s="227">
        <v>362.66744</v>
      </c>
      <c r="J78" s="227">
        <v>216.90886</v>
      </c>
      <c r="K78" s="162">
        <f t="shared" si="1"/>
        <v>59.809300774285113</v>
      </c>
      <c r="M78" s="20">
        <f t="shared" si="9"/>
        <v>332667.44</v>
      </c>
      <c r="N78" s="20">
        <f t="shared" si="10"/>
        <v>362667.44</v>
      </c>
      <c r="O78" s="20">
        <f t="shared" si="11"/>
        <v>216908.86000000002</v>
      </c>
    </row>
    <row r="79" spans="1:15" ht="12.75" x14ac:dyDescent="0.2">
      <c r="A79" s="32">
        <v>71</v>
      </c>
      <c r="B79" s="215" t="s">
        <v>39</v>
      </c>
      <c r="C79" s="36">
        <v>807</v>
      </c>
      <c r="D79" s="35" t="s">
        <v>29</v>
      </c>
      <c r="E79" s="35" t="s">
        <v>175</v>
      </c>
      <c r="F79" s="35" t="s">
        <v>171</v>
      </c>
      <c r="G79" s="35" t="s">
        <v>38</v>
      </c>
      <c r="H79" s="227">
        <v>100.46556</v>
      </c>
      <c r="I79" s="227">
        <v>100.46556</v>
      </c>
      <c r="J79" s="227">
        <v>56.922699999999999</v>
      </c>
      <c r="K79" s="162">
        <f t="shared" si="1"/>
        <v>56.658918737923727</v>
      </c>
      <c r="M79" s="20">
        <f t="shared" si="9"/>
        <v>100465.56</v>
      </c>
      <c r="N79" s="20">
        <f t="shared" si="10"/>
        <v>100465.56</v>
      </c>
      <c r="O79" s="20">
        <f t="shared" si="11"/>
        <v>56922.7</v>
      </c>
    </row>
    <row r="80" spans="1:15" ht="12.75" x14ac:dyDescent="0.2">
      <c r="A80" s="32">
        <v>72</v>
      </c>
      <c r="B80" s="215" t="s">
        <v>33</v>
      </c>
      <c r="C80" s="36">
        <v>807</v>
      </c>
      <c r="D80" s="35" t="s">
        <v>29</v>
      </c>
      <c r="E80" s="35" t="s">
        <v>175</v>
      </c>
      <c r="F80" s="35" t="s">
        <v>68</v>
      </c>
      <c r="G80" s="35" t="s">
        <v>41</v>
      </c>
      <c r="H80" s="227">
        <v>8.2289999999999992</v>
      </c>
      <c r="I80" s="227">
        <v>8.2289999999999992</v>
      </c>
      <c r="J80" s="227">
        <v>4.8220799999999997</v>
      </c>
      <c r="K80" s="162">
        <f t="shared" si="1"/>
        <v>58.598614655486692</v>
      </c>
      <c r="M80" s="20">
        <f t="shared" si="9"/>
        <v>8229</v>
      </c>
      <c r="N80" s="20">
        <f t="shared" si="10"/>
        <v>8229</v>
      </c>
      <c r="O80" s="20">
        <f t="shared" si="11"/>
        <v>4822.08</v>
      </c>
    </row>
    <row r="81" spans="1:15" ht="12.75" x14ac:dyDescent="0.2">
      <c r="A81" s="32">
        <v>73</v>
      </c>
      <c r="B81" s="215" t="s">
        <v>43</v>
      </c>
      <c r="C81" s="36">
        <v>807</v>
      </c>
      <c r="D81" s="35" t="s">
        <v>29</v>
      </c>
      <c r="E81" s="35" t="s">
        <v>175</v>
      </c>
      <c r="F81" s="35" t="s">
        <v>68</v>
      </c>
      <c r="G81" s="35" t="s">
        <v>44</v>
      </c>
      <c r="H81" s="227">
        <v>1.7709999999999999</v>
      </c>
      <c r="I81" s="227">
        <v>1.7709999999999999</v>
      </c>
      <c r="J81" s="227">
        <v>0</v>
      </c>
      <c r="K81" s="162">
        <f t="shared" si="1"/>
        <v>0</v>
      </c>
      <c r="M81" s="20">
        <f t="shared" si="9"/>
        <v>1771</v>
      </c>
      <c r="N81" s="20">
        <f t="shared" si="10"/>
        <v>1771</v>
      </c>
      <c r="O81" s="20">
        <f t="shared" si="11"/>
        <v>0</v>
      </c>
    </row>
    <row r="82" spans="1:15" ht="12.75" x14ac:dyDescent="0.2">
      <c r="A82" s="32">
        <v>74</v>
      </c>
      <c r="B82" s="215" t="s">
        <v>45</v>
      </c>
      <c r="C82" s="36">
        <v>807</v>
      </c>
      <c r="D82" s="35" t="s">
        <v>29</v>
      </c>
      <c r="E82" s="35" t="s">
        <v>175</v>
      </c>
      <c r="F82" s="35" t="s">
        <v>68</v>
      </c>
      <c r="G82" s="35" t="s">
        <v>46</v>
      </c>
      <c r="H82" s="227">
        <v>0</v>
      </c>
      <c r="I82" s="227">
        <v>0</v>
      </c>
      <c r="J82" s="227">
        <v>0</v>
      </c>
      <c r="K82" s="162">
        <v>0</v>
      </c>
      <c r="M82" s="20">
        <f t="shared" si="9"/>
        <v>0</v>
      </c>
      <c r="N82" s="20">
        <f t="shared" si="10"/>
        <v>0</v>
      </c>
      <c r="O82" s="20">
        <f t="shared" si="11"/>
        <v>0</v>
      </c>
    </row>
    <row r="83" spans="1:15" ht="12.75" x14ac:dyDescent="0.2">
      <c r="A83" s="32">
        <v>75</v>
      </c>
      <c r="B83" s="215" t="s">
        <v>35</v>
      </c>
      <c r="C83" s="36">
        <v>807</v>
      </c>
      <c r="D83" s="35" t="s">
        <v>29</v>
      </c>
      <c r="E83" s="35" t="s">
        <v>175</v>
      </c>
      <c r="F83" s="35" t="s">
        <v>68</v>
      </c>
      <c r="G83" s="35" t="s">
        <v>49</v>
      </c>
      <c r="H83" s="227">
        <v>0</v>
      </c>
      <c r="I83" s="227">
        <f>59.504-I81-I80</f>
        <v>49.503999999999998</v>
      </c>
      <c r="J83" s="227">
        <v>0</v>
      </c>
      <c r="K83" s="162">
        <v>0</v>
      </c>
      <c r="M83" s="20">
        <f t="shared" si="9"/>
        <v>0</v>
      </c>
      <c r="N83" s="20">
        <f t="shared" si="10"/>
        <v>49504</v>
      </c>
      <c r="O83" s="20">
        <f t="shared" si="11"/>
        <v>0</v>
      </c>
    </row>
    <row r="84" spans="1:15" ht="12.75" x14ac:dyDescent="0.2">
      <c r="A84" s="32">
        <v>76</v>
      </c>
      <c r="B84" s="215" t="s">
        <v>52</v>
      </c>
      <c r="C84" s="36">
        <v>807</v>
      </c>
      <c r="D84" s="35" t="s">
        <v>29</v>
      </c>
      <c r="E84" s="35" t="s">
        <v>175</v>
      </c>
      <c r="F84" s="35" t="s">
        <v>68</v>
      </c>
      <c r="G84" s="35" t="s">
        <v>40</v>
      </c>
      <c r="H84" s="227">
        <v>0</v>
      </c>
      <c r="I84" s="227">
        <v>0</v>
      </c>
      <c r="J84" s="227">
        <v>0</v>
      </c>
      <c r="K84" s="162">
        <v>0</v>
      </c>
      <c r="M84" s="20">
        <f t="shared" si="9"/>
        <v>0</v>
      </c>
      <c r="N84" s="20">
        <f t="shared" si="10"/>
        <v>0</v>
      </c>
      <c r="O84" s="20">
        <f t="shared" si="11"/>
        <v>0</v>
      </c>
    </row>
    <row r="85" spans="1:15" ht="25.5" x14ac:dyDescent="0.2">
      <c r="A85" s="32">
        <v>77</v>
      </c>
      <c r="B85" s="42" t="s">
        <v>185</v>
      </c>
      <c r="C85" s="46" t="s">
        <v>129</v>
      </c>
      <c r="D85" s="47" t="s">
        <v>194</v>
      </c>
      <c r="E85" s="35"/>
      <c r="F85" s="35"/>
      <c r="G85" s="35"/>
      <c r="H85" s="227">
        <f>H86+H94</f>
        <v>494.053</v>
      </c>
      <c r="I85" s="227">
        <f>I86+I94</f>
        <v>512.053</v>
      </c>
      <c r="J85" s="227">
        <f>J86+J94</f>
        <v>474.18290000000002</v>
      </c>
      <c r="K85" s="162">
        <f t="shared" si="1"/>
        <v>92.604261668225746</v>
      </c>
      <c r="M85" s="20">
        <f t="shared" si="9"/>
        <v>494053</v>
      </c>
      <c r="N85" s="20">
        <f t="shared" si="10"/>
        <v>512053</v>
      </c>
      <c r="O85" s="20">
        <f t="shared" si="11"/>
        <v>474182.9</v>
      </c>
    </row>
    <row r="86" spans="1:15" ht="38.25" x14ac:dyDescent="0.2">
      <c r="A86" s="32">
        <v>78</v>
      </c>
      <c r="B86" s="167" t="s">
        <v>424</v>
      </c>
      <c r="C86" s="36">
        <v>807</v>
      </c>
      <c r="D86" s="47" t="s">
        <v>186</v>
      </c>
      <c r="E86" s="35"/>
      <c r="F86" s="35"/>
      <c r="G86" s="35"/>
      <c r="H86" s="227">
        <f>H87</f>
        <v>471.053</v>
      </c>
      <c r="I86" s="227">
        <f>I87</f>
        <v>471.053</v>
      </c>
      <c r="J86" s="227">
        <f>J87</f>
        <v>434.74290000000002</v>
      </c>
      <c r="K86" s="162">
        <f t="shared" si="1"/>
        <v>92.291716643350114</v>
      </c>
      <c r="M86" s="20">
        <f t="shared" si="9"/>
        <v>471053</v>
      </c>
      <c r="N86" s="20">
        <f t="shared" si="10"/>
        <v>471053</v>
      </c>
      <c r="O86" s="20">
        <f t="shared" si="11"/>
        <v>434742.9</v>
      </c>
    </row>
    <row r="87" spans="1:15" ht="12.75" x14ac:dyDescent="0.2">
      <c r="A87" s="32">
        <v>79</v>
      </c>
      <c r="B87" s="168" t="s">
        <v>206</v>
      </c>
      <c r="C87" s="36">
        <v>807</v>
      </c>
      <c r="D87" s="47" t="s">
        <v>186</v>
      </c>
      <c r="E87" s="35" t="s">
        <v>195</v>
      </c>
      <c r="F87" s="35" t="s">
        <v>73</v>
      </c>
      <c r="G87" s="35"/>
      <c r="H87" s="227">
        <f>SUM(H88:H93)</f>
        <v>471.053</v>
      </c>
      <c r="I87" s="227">
        <f>SUM(I88:I93)</f>
        <v>471.053</v>
      </c>
      <c r="J87" s="227">
        <f>SUM(J88:J93)</f>
        <v>434.74290000000002</v>
      </c>
      <c r="K87" s="162">
        <f t="shared" si="1"/>
        <v>92.291716643350114</v>
      </c>
      <c r="M87" s="20">
        <f t="shared" si="9"/>
        <v>471053</v>
      </c>
      <c r="N87" s="20">
        <f t="shared" si="10"/>
        <v>471053</v>
      </c>
      <c r="O87" s="20">
        <f t="shared" si="11"/>
        <v>434742.9</v>
      </c>
    </row>
    <row r="88" spans="1:15" ht="12.75" x14ac:dyDescent="0.2">
      <c r="A88" s="32">
        <v>80</v>
      </c>
      <c r="B88" s="215" t="s">
        <v>43</v>
      </c>
      <c r="C88" s="36">
        <v>807</v>
      </c>
      <c r="D88" s="47" t="s">
        <v>186</v>
      </c>
      <c r="E88" s="35" t="s">
        <v>233</v>
      </c>
      <c r="F88" s="35" t="s">
        <v>68</v>
      </c>
      <c r="G88" s="35" t="s">
        <v>184</v>
      </c>
      <c r="H88" s="227">
        <v>447.5</v>
      </c>
      <c r="I88" s="227">
        <v>447.5</v>
      </c>
      <c r="J88" s="227">
        <v>412.98764999999997</v>
      </c>
      <c r="K88" s="162">
        <f t="shared" ref="K88:K148" si="12">J88/I88*100</f>
        <v>92.287743016759777</v>
      </c>
      <c r="M88" s="20">
        <f t="shared" si="9"/>
        <v>447500</v>
      </c>
      <c r="N88" s="20">
        <f t="shared" si="10"/>
        <v>447500</v>
      </c>
      <c r="O88" s="20">
        <f t="shared" si="11"/>
        <v>412987.64999999997</v>
      </c>
    </row>
    <row r="89" spans="1:15" ht="12.75" x14ac:dyDescent="0.2">
      <c r="A89" s="32">
        <v>81</v>
      </c>
      <c r="B89" s="215" t="s">
        <v>229</v>
      </c>
      <c r="C89" s="36">
        <v>807</v>
      </c>
      <c r="D89" s="47" t="s">
        <v>186</v>
      </c>
      <c r="E89" s="35" t="s">
        <v>233</v>
      </c>
      <c r="F89" s="35" t="s">
        <v>68</v>
      </c>
      <c r="G89" s="35" t="s">
        <v>44</v>
      </c>
      <c r="H89" s="227">
        <v>23.553000000000001</v>
      </c>
      <c r="I89" s="227">
        <v>15.186</v>
      </c>
      <c r="J89" s="227">
        <v>13.388249999999999</v>
      </c>
      <c r="K89" s="162">
        <f t="shared" si="12"/>
        <v>88.161793757408134</v>
      </c>
      <c r="M89" s="20">
        <f t="shared" si="9"/>
        <v>23553</v>
      </c>
      <c r="N89" s="20">
        <f t="shared" si="10"/>
        <v>15186</v>
      </c>
      <c r="O89" s="20">
        <f t="shared" si="11"/>
        <v>13388.25</v>
      </c>
    </row>
    <row r="90" spans="1:15" ht="12.75" x14ac:dyDescent="0.2">
      <c r="A90" s="32">
        <v>82</v>
      </c>
      <c r="B90" s="215" t="s">
        <v>45</v>
      </c>
      <c r="C90" s="36">
        <v>808</v>
      </c>
      <c r="D90" s="47" t="s">
        <v>186</v>
      </c>
      <c r="E90" s="35" t="s">
        <v>233</v>
      </c>
      <c r="F90" s="35" t="s">
        <v>68</v>
      </c>
      <c r="G90" s="35" t="s">
        <v>46</v>
      </c>
      <c r="H90" s="227">
        <v>0</v>
      </c>
      <c r="I90" s="227">
        <v>0.3</v>
      </c>
      <c r="J90" s="227">
        <v>0.3</v>
      </c>
      <c r="K90" s="162">
        <f>J90/I90*100</f>
        <v>100</v>
      </c>
      <c r="M90" s="20"/>
      <c r="N90" s="20">
        <f>I90*1000</f>
        <v>300</v>
      </c>
      <c r="O90" s="20">
        <f>J90*1000</f>
        <v>300</v>
      </c>
    </row>
    <row r="91" spans="1:15" ht="12.75" x14ac:dyDescent="0.2">
      <c r="A91" s="32">
        <v>83</v>
      </c>
      <c r="B91" s="215" t="s">
        <v>35</v>
      </c>
      <c r="C91" s="36">
        <v>807</v>
      </c>
      <c r="D91" s="47" t="s">
        <v>186</v>
      </c>
      <c r="E91" s="35" t="s">
        <v>233</v>
      </c>
      <c r="F91" s="35" t="s">
        <v>68</v>
      </c>
      <c r="G91" s="35" t="s">
        <v>49</v>
      </c>
      <c r="H91" s="227">
        <v>0</v>
      </c>
      <c r="I91" s="227">
        <v>7.1369999999999996</v>
      </c>
      <c r="J91" s="227">
        <v>7.1369999999999996</v>
      </c>
      <c r="K91" s="162">
        <v>0</v>
      </c>
      <c r="M91" s="20">
        <f t="shared" si="9"/>
        <v>0</v>
      </c>
      <c r="N91" s="20">
        <f t="shared" si="10"/>
        <v>7137</v>
      </c>
      <c r="O91" s="20">
        <f t="shared" si="11"/>
        <v>7137</v>
      </c>
    </row>
    <row r="92" spans="1:15" ht="12.75" x14ac:dyDescent="0.2">
      <c r="A92" s="32">
        <v>84</v>
      </c>
      <c r="B92" s="215" t="s">
        <v>52</v>
      </c>
      <c r="C92" s="36">
        <v>807</v>
      </c>
      <c r="D92" s="47" t="s">
        <v>186</v>
      </c>
      <c r="E92" s="35" t="s">
        <v>233</v>
      </c>
      <c r="F92" s="35" t="s">
        <v>68</v>
      </c>
      <c r="G92" s="35" t="s">
        <v>184</v>
      </c>
      <c r="H92" s="227">
        <v>0</v>
      </c>
      <c r="I92" s="227">
        <v>0</v>
      </c>
      <c r="J92" s="227">
        <v>0</v>
      </c>
      <c r="K92" s="162">
        <v>0</v>
      </c>
      <c r="M92" s="20">
        <f t="shared" si="9"/>
        <v>0</v>
      </c>
      <c r="N92" s="20">
        <f t="shared" si="10"/>
        <v>0</v>
      </c>
      <c r="O92" s="20">
        <f t="shared" si="11"/>
        <v>0</v>
      </c>
    </row>
    <row r="93" spans="1:15" ht="12.75" x14ac:dyDescent="0.2">
      <c r="A93" s="32">
        <v>85</v>
      </c>
      <c r="B93" s="215" t="s">
        <v>427</v>
      </c>
      <c r="C93" s="36">
        <v>807</v>
      </c>
      <c r="D93" s="47" t="s">
        <v>186</v>
      </c>
      <c r="E93" s="35" t="s">
        <v>233</v>
      </c>
      <c r="F93" s="35" t="s">
        <v>68</v>
      </c>
      <c r="G93" s="35" t="s">
        <v>40</v>
      </c>
      <c r="H93" s="227">
        <v>0</v>
      </c>
      <c r="I93" s="227">
        <v>0.93</v>
      </c>
      <c r="J93" s="227">
        <v>0.93</v>
      </c>
      <c r="K93" s="162">
        <v>0</v>
      </c>
      <c r="M93" s="20">
        <f t="shared" si="9"/>
        <v>0</v>
      </c>
      <c r="N93" s="20">
        <f t="shared" si="10"/>
        <v>930</v>
      </c>
      <c r="O93" s="20">
        <f t="shared" si="11"/>
        <v>930</v>
      </c>
    </row>
    <row r="94" spans="1:15" ht="25.5" x14ac:dyDescent="0.2">
      <c r="A94" s="32">
        <v>86</v>
      </c>
      <c r="B94" s="48" t="s">
        <v>230</v>
      </c>
      <c r="C94" s="36">
        <v>807</v>
      </c>
      <c r="D94" s="47" t="s">
        <v>231</v>
      </c>
      <c r="E94" s="35"/>
      <c r="F94" s="35"/>
      <c r="G94" s="35"/>
      <c r="H94" s="227">
        <f>H95+H97</f>
        <v>23</v>
      </c>
      <c r="I94" s="227">
        <f>I95+I97</f>
        <v>41</v>
      </c>
      <c r="J94" s="227">
        <f>J95+J97</f>
        <v>39.44</v>
      </c>
      <c r="K94" s="162">
        <f t="shared" si="12"/>
        <v>96.195121951219505</v>
      </c>
      <c r="M94" s="20">
        <f t="shared" si="9"/>
        <v>23000</v>
      </c>
      <c r="N94" s="20">
        <f t="shared" si="10"/>
        <v>41000</v>
      </c>
      <c r="O94" s="20">
        <f t="shared" si="11"/>
        <v>39440</v>
      </c>
    </row>
    <row r="95" spans="1:15" ht="12.75" x14ac:dyDescent="0.2">
      <c r="A95" s="32">
        <v>87</v>
      </c>
      <c r="B95" s="215" t="s">
        <v>76</v>
      </c>
      <c r="C95" s="36">
        <v>807</v>
      </c>
      <c r="D95" s="47" t="s">
        <v>231</v>
      </c>
      <c r="E95" s="35" t="s">
        <v>232</v>
      </c>
      <c r="F95" s="35" t="s">
        <v>73</v>
      </c>
      <c r="G95" s="35"/>
      <c r="H95" s="227">
        <f>SUM(H96)</f>
        <v>22</v>
      </c>
      <c r="I95" s="227">
        <f>SUM(I96)</f>
        <v>40</v>
      </c>
      <c r="J95" s="227">
        <f>SUM(J96)</f>
        <v>39.44</v>
      </c>
      <c r="K95" s="162">
        <f t="shared" si="12"/>
        <v>98.6</v>
      </c>
      <c r="M95" s="20">
        <f t="shared" si="9"/>
        <v>22000</v>
      </c>
      <c r="N95" s="20">
        <f t="shared" si="10"/>
        <v>40000</v>
      </c>
      <c r="O95" s="20">
        <f t="shared" si="11"/>
        <v>39440</v>
      </c>
    </row>
    <row r="96" spans="1:15" ht="12.75" x14ac:dyDescent="0.2">
      <c r="A96" s="32">
        <v>88</v>
      </c>
      <c r="B96" s="215" t="s">
        <v>208</v>
      </c>
      <c r="C96" s="36">
        <v>807</v>
      </c>
      <c r="D96" s="47" t="s">
        <v>231</v>
      </c>
      <c r="E96" s="35" t="s">
        <v>232</v>
      </c>
      <c r="F96" s="35" t="s">
        <v>68</v>
      </c>
      <c r="G96" s="35" t="s">
        <v>207</v>
      </c>
      <c r="H96" s="227">
        <v>22</v>
      </c>
      <c r="I96" s="227">
        <v>40</v>
      </c>
      <c r="J96" s="230">
        <v>39.44</v>
      </c>
      <c r="K96" s="162">
        <f t="shared" si="12"/>
        <v>98.6</v>
      </c>
      <c r="M96" s="20">
        <f t="shared" si="9"/>
        <v>22000</v>
      </c>
      <c r="N96" s="20">
        <f t="shared" si="10"/>
        <v>40000</v>
      </c>
      <c r="O96" s="20">
        <f t="shared" si="11"/>
        <v>39440</v>
      </c>
    </row>
    <row r="97" spans="1:15" ht="63.75" x14ac:dyDescent="0.2">
      <c r="A97" s="32">
        <v>89</v>
      </c>
      <c r="B97" s="215" t="s">
        <v>423</v>
      </c>
      <c r="C97" s="36">
        <v>807</v>
      </c>
      <c r="D97" s="47" t="s">
        <v>231</v>
      </c>
      <c r="E97" s="35" t="s">
        <v>394</v>
      </c>
      <c r="F97" s="35"/>
      <c r="G97" s="35"/>
      <c r="H97" s="227">
        <f t="shared" ref="H97:J98" si="13">H98</f>
        <v>1</v>
      </c>
      <c r="I97" s="227">
        <f t="shared" si="13"/>
        <v>1</v>
      </c>
      <c r="J97" s="227">
        <f t="shared" si="13"/>
        <v>0</v>
      </c>
      <c r="K97" s="162">
        <f t="shared" si="12"/>
        <v>0</v>
      </c>
      <c r="M97" s="20">
        <f t="shared" si="9"/>
        <v>1000</v>
      </c>
      <c r="N97" s="20">
        <f t="shared" si="10"/>
        <v>1000</v>
      </c>
      <c r="O97" s="20">
        <f t="shared" si="11"/>
        <v>0</v>
      </c>
    </row>
    <row r="98" spans="1:15" ht="51" x14ac:dyDescent="0.2">
      <c r="A98" s="32">
        <v>90</v>
      </c>
      <c r="B98" s="215" t="s">
        <v>396</v>
      </c>
      <c r="C98" s="36">
        <v>807</v>
      </c>
      <c r="D98" s="47" t="s">
        <v>231</v>
      </c>
      <c r="E98" s="35" t="s">
        <v>395</v>
      </c>
      <c r="F98" s="35"/>
      <c r="G98" s="35"/>
      <c r="H98" s="227">
        <f t="shared" si="13"/>
        <v>1</v>
      </c>
      <c r="I98" s="227">
        <f t="shared" si="13"/>
        <v>1</v>
      </c>
      <c r="J98" s="227">
        <f t="shared" si="13"/>
        <v>0</v>
      </c>
      <c r="K98" s="162">
        <f t="shared" si="12"/>
        <v>0</v>
      </c>
      <c r="M98" s="20">
        <f t="shared" si="9"/>
        <v>1000</v>
      </c>
      <c r="N98" s="20">
        <f t="shared" si="10"/>
        <v>1000</v>
      </c>
      <c r="O98" s="20">
        <f t="shared" si="11"/>
        <v>0</v>
      </c>
    </row>
    <row r="99" spans="1:15" ht="12.75" x14ac:dyDescent="0.2">
      <c r="A99" s="32">
        <v>91</v>
      </c>
      <c r="B99" s="215" t="s">
        <v>52</v>
      </c>
      <c r="C99" s="36">
        <v>807</v>
      </c>
      <c r="D99" s="47" t="s">
        <v>231</v>
      </c>
      <c r="E99" s="35" t="s">
        <v>389</v>
      </c>
      <c r="F99" s="35" t="s">
        <v>68</v>
      </c>
      <c r="G99" s="35" t="s">
        <v>40</v>
      </c>
      <c r="H99" s="227">
        <v>1</v>
      </c>
      <c r="I99" s="227">
        <v>1</v>
      </c>
      <c r="J99" s="230">
        <v>0</v>
      </c>
      <c r="K99" s="162">
        <f t="shared" si="12"/>
        <v>0</v>
      </c>
      <c r="M99" s="20">
        <f t="shared" si="9"/>
        <v>1000</v>
      </c>
      <c r="N99" s="20">
        <f t="shared" si="10"/>
        <v>1000</v>
      </c>
      <c r="O99" s="20">
        <f t="shared" si="11"/>
        <v>0</v>
      </c>
    </row>
    <row r="100" spans="1:15" ht="12.75" x14ac:dyDescent="0.2">
      <c r="A100" s="32">
        <v>92</v>
      </c>
      <c r="B100" s="169" t="s">
        <v>148</v>
      </c>
      <c r="C100" s="152">
        <v>807</v>
      </c>
      <c r="D100" s="152" t="s">
        <v>149</v>
      </c>
      <c r="E100" s="35"/>
      <c r="F100" s="35"/>
      <c r="G100" s="35"/>
      <c r="H100" s="227">
        <f>H101+H109</f>
        <v>1070.0840000000001</v>
      </c>
      <c r="I100" s="227">
        <f>I101+I109</f>
        <v>1257.2331199999999</v>
      </c>
      <c r="J100" s="227">
        <f>J101+J109</f>
        <v>468.95374000000004</v>
      </c>
      <c r="K100" s="162">
        <f t="shared" si="12"/>
        <v>37.300460236045971</v>
      </c>
      <c r="M100" s="20">
        <f t="shared" si="9"/>
        <v>1070084</v>
      </c>
      <c r="N100" s="20">
        <f t="shared" si="10"/>
        <v>1257233.1199999999</v>
      </c>
      <c r="O100" s="20">
        <f t="shared" si="11"/>
        <v>468953.74000000005</v>
      </c>
    </row>
    <row r="101" spans="1:15" ht="12.75" x14ac:dyDescent="0.2">
      <c r="A101" s="32">
        <v>93</v>
      </c>
      <c r="B101" s="170" t="s">
        <v>150</v>
      </c>
      <c r="C101" s="152">
        <v>807</v>
      </c>
      <c r="D101" s="152" t="s">
        <v>58</v>
      </c>
      <c r="E101" s="35" t="s">
        <v>177</v>
      </c>
      <c r="F101" s="35"/>
      <c r="G101" s="35"/>
      <c r="H101" s="227">
        <f t="shared" ref="H101:J102" si="14">H102</f>
        <v>1070.0840000000001</v>
      </c>
      <c r="I101" s="230">
        <f t="shared" si="14"/>
        <v>1257.2331199999999</v>
      </c>
      <c r="J101" s="230">
        <f t="shared" si="14"/>
        <v>468.95374000000004</v>
      </c>
      <c r="K101" s="162">
        <f t="shared" si="12"/>
        <v>37.300460236045971</v>
      </c>
      <c r="M101" s="20">
        <f t="shared" si="9"/>
        <v>1070084</v>
      </c>
      <c r="N101" s="20">
        <f t="shared" si="10"/>
        <v>1257233.1199999999</v>
      </c>
      <c r="O101" s="20">
        <f t="shared" si="11"/>
        <v>468953.74000000005</v>
      </c>
    </row>
    <row r="102" spans="1:15" ht="38.25" x14ac:dyDescent="0.2">
      <c r="A102" s="32">
        <v>94</v>
      </c>
      <c r="B102" s="167" t="s">
        <v>204</v>
      </c>
      <c r="C102" s="36">
        <v>807</v>
      </c>
      <c r="D102" s="35" t="s">
        <v>58</v>
      </c>
      <c r="E102" s="35" t="s">
        <v>177</v>
      </c>
      <c r="F102" s="35"/>
      <c r="G102" s="35"/>
      <c r="H102" s="227">
        <f t="shared" si="14"/>
        <v>1070.0840000000001</v>
      </c>
      <c r="I102" s="230">
        <f t="shared" si="14"/>
        <v>1257.2331199999999</v>
      </c>
      <c r="J102" s="230">
        <f t="shared" si="14"/>
        <v>468.95374000000004</v>
      </c>
      <c r="K102" s="162">
        <f t="shared" si="12"/>
        <v>37.300460236045971</v>
      </c>
      <c r="M102" s="20">
        <f t="shared" si="9"/>
        <v>1070084</v>
      </c>
      <c r="N102" s="20">
        <f t="shared" si="10"/>
        <v>1257233.1199999999</v>
      </c>
      <c r="O102" s="20">
        <f t="shared" si="11"/>
        <v>468953.74000000005</v>
      </c>
    </row>
    <row r="103" spans="1:15" ht="38.25" x14ac:dyDescent="0.2">
      <c r="A103" s="32">
        <v>95</v>
      </c>
      <c r="B103" s="167" t="s">
        <v>77</v>
      </c>
      <c r="C103" s="36">
        <v>807</v>
      </c>
      <c r="D103" s="35" t="s">
        <v>58</v>
      </c>
      <c r="E103" s="35" t="s">
        <v>177</v>
      </c>
      <c r="F103" s="35" t="s">
        <v>73</v>
      </c>
      <c r="G103" s="35"/>
      <c r="H103" s="227">
        <f>SUM(H104:H108)</f>
        <v>1070.0840000000001</v>
      </c>
      <c r="I103" s="227">
        <f>SUM(I104:I108)</f>
        <v>1257.2331199999999</v>
      </c>
      <c r="J103" s="227">
        <f>SUM(J104:J108)</f>
        <v>468.95374000000004</v>
      </c>
      <c r="K103" s="162">
        <f t="shared" si="12"/>
        <v>37.300460236045971</v>
      </c>
      <c r="M103" s="20">
        <f t="shared" si="9"/>
        <v>1070084</v>
      </c>
      <c r="N103" s="20">
        <f t="shared" si="10"/>
        <v>1257233.1199999999</v>
      </c>
      <c r="O103" s="20">
        <f t="shared" si="11"/>
        <v>468953.74000000005</v>
      </c>
    </row>
    <row r="104" spans="1:15" ht="12.75" x14ac:dyDescent="0.2">
      <c r="A104" s="32">
        <v>96</v>
      </c>
      <c r="B104" s="215" t="s">
        <v>43</v>
      </c>
      <c r="C104" s="36">
        <v>807</v>
      </c>
      <c r="D104" s="35" t="s">
        <v>58</v>
      </c>
      <c r="E104" s="35" t="s">
        <v>177</v>
      </c>
      <c r="F104" s="35" t="s">
        <v>68</v>
      </c>
      <c r="G104" s="35" t="s">
        <v>44</v>
      </c>
      <c r="H104" s="227">
        <v>726.1</v>
      </c>
      <c r="I104" s="227">
        <v>913.24911999999995</v>
      </c>
      <c r="J104" s="227">
        <v>176.85373999999999</v>
      </c>
      <c r="K104" s="162">
        <f t="shared" si="12"/>
        <v>19.365333743765337</v>
      </c>
      <c r="M104" s="20">
        <f t="shared" si="9"/>
        <v>726100</v>
      </c>
      <c r="N104" s="20">
        <f t="shared" si="10"/>
        <v>913249.12</v>
      </c>
      <c r="O104" s="20">
        <f t="shared" si="11"/>
        <v>176853.74</v>
      </c>
    </row>
    <row r="105" spans="1:15" ht="12.75" x14ac:dyDescent="0.2">
      <c r="A105" s="32">
        <v>97</v>
      </c>
      <c r="B105" s="215" t="s">
        <v>45</v>
      </c>
      <c r="C105" s="36">
        <v>807</v>
      </c>
      <c r="D105" s="35" t="s">
        <v>58</v>
      </c>
      <c r="E105" s="35" t="s">
        <v>177</v>
      </c>
      <c r="F105" s="35" t="s">
        <v>68</v>
      </c>
      <c r="G105" s="35" t="s">
        <v>46</v>
      </c>
      <c r="H105" s="227">
        <v>0</v>
      </c>
      <c r="I105" s="227">
        <v>0</v>
      </c>
      <c r="J105" s="227">
        <v>0</v>
      </c>
      <c r="K105" s="162">
        <v>0</v>
      </c>
      <c r="M105" s="20">
        <f t="shared" si="9"/>
        <v>0</v>
      </c>
      <c r="N105" s="20">
        <f t="shared" si="10"/>
        <v>0</v>
      </c>
      <c r="O105" s="20">
        <f t="shared" si="11"/>
        <v>0</v>
      </c>
    </row>
    <row r="106" spans="1:15" ht="12.75" x14ac:dyDescent="0.2">
      <c r="A106" s="32">
        <v>98</v>
      </c>
      <c r="B106" s="215" t="s">
        <v>35</v>
      </c>
      <c r="C106" s="36">
        <v>807</v>
      </c>
      <c r="D106" s="35" t="s">
        <v>58</v>
      </c>
      <c r="E106" s="35" t="s">
        <v>177</v>
      </c>
      <c r="F106" s="35" t="s">
        <v>68</v>
      </c>
      <c r="G106" s="35" t="s">
        <v>49</v>
      </c>
      <c r="H106" s="227">
        <v>0</v>
      </c>
      <c r="I106" s="227">
        <v>0</v>
      </c>
      <c r="J106" s="227">
        <v>0</v>
      </c>
      <c r="K106" s="162">
        <v>0</v>
      </c>
      <c r="M106" s="20">
        <f t="shared" si="9"/>
        <v>0</v>
      </c>
      <c r="N106" s="20">
        <f t="shared" si="10"/>
        <v>0</v>
      </c>
      <c r="O106" s="20">
        <f t="shared" si="11"/>
        <v>0</v>
      </c>
    </row>
    <row r="107" spans="1:15" ht="12.75" x14ac:dyDescent="0.2">
      <c r="A107" s="32">
        <v>99</v>
      </c>
      <c r="B107" s="215" t="s">
        <v>52</v>
      </c>
      <c r="C107" s="36">
        <v>807</v>
      </c>
      <c r="D107" s="35" t="s">
        <v>58</v>
      </c>
      <c r="E107" s="35" t="s">
        <v>177</v>
      </c>
      <c r="F107" s="35" t="s">
        <v>68</v>
      </c>
      <c r="G107" s="35" t="s">
        <v>40</v>
      </c>
      <c r="H107" s="227">
        <v>0</v>
      </c>
      <c r="I107" s="227">
        <v>0</v>
      </c>
      <c r="J107" s="227">
        <v>0</v>
      </c>
      <c r="K107" s="162">
        <v>0</v>
      </c>
      <c r="M107" s="20">
        <f t="shared" si="9"/>
        <v>0</v>
      </c>
      <c r="N107" s="20">
        <f t="shared" si="10"/>
        <v>0</v>
      </c>
      <c r="O107" s="20">
        <f t="shared" si="11"/>
        <v>0</v>
      </c>
    </row>
    <row r="108" spans="1:15" ht="12.75" x14ac:dyDescent="0.2">
      <c r="A108" s="32">
        <v>100</v>
      </c>
      <c r="B108" s="215" t="s">
        <v>43</v>
      </c>
      <c r="C108" s="36">
        <v>807</v>
      </c>
      <c r="D108" s="35" t="s">
        <v>58</v>
      </c>
      <c r="E108" s="35" t="s">
        <v>425</v>
      </c>
      <c r="F108" s="35" t="s">
        <v>68</v>
      </c>
      <c r="G108" s="35" t="s">
        <v>426</v>
      </c>
      <c r="H108" s="227">
        <v>343.98399999999998</v>
      </c>
      <c r="I108" s="227">
        <v>343.98399999999998</v>
      </c>
      <c r="J108" s="227">
        <v>292.10000000000002</v>
      </c>
      <c r="K108" s="162">
        <f t="shared" si="12"/>
        <v>84.91674031350297</v>
      </c>
      <c r="M108" s="20">
        <f t="shared" si="9"/>
        <v>343984</v>
      </c>
      <c r="N108" s="20">
        <f t="shared" si="10"/>
        <v>343984</v>
      </c>
      <c r="O108" s="20">
        <f t="shared" si="11"/>
        <v>292100</v>
      </c>
    </row>
    <row r="109" spans="1:15" ht="11.25" customHeight="1" x14ac:dyDescent="0.2">
      <c r="A109" s="32">
        <v>101</v>
      </c>
      <c r="B109" s="48" t="s">
        <v>260</v>
      </c>
      <c r="C109" s="36">
        <v>807</v>
      </c>
      <c r="D109" s="47" t="s">
        <v>258</v>
      </c>
      <c r="E109" s="35"/>
      <c r="F109" s="35"/>
      <c r="G109" s="35"/>
      <c r="H109" s="227">
        <f>H110</f>
        <v>0</v>
      </c>
      <c r="I109" s="227">
        <f>I110</f>
        <v>0</v>
      </c>
      <c r="J109" s="227">
        <f>J110</f>
        <v>0</v>
      </c>
      <c r="K109" s="162">
        <v>0</v>
      </c>
      <c r="M109" s="20">
        <f t="shared" si="9"/>
        <v>0</v>
      </c>
      <c r="N109" s="20">
        <f t="shared" si="10"/>
        <v>0</v>
      </c>
      <c r="O109" s="20">
        <f t="shared" si="11"/>
        <v>0</v>
      </c>
    </row>
    <row r="110" spans="1:15" ht="12" customHeight="1" x14ac:dyDescent="0.2">
      <c r="A110" s="32">
        <v>102</v>
      </c>
      <c r="B110" s="215" t="s">
        <v>76</v>
      </c>
      <c r="C110" s="36">
        <v>807</v>
      </c>
      <c r="D110" s="47" t="s">
        <v>258</v>
      </c>
      <c r="E110" s="35" t="s">
        <v>259</v>
      </c>
      <c r="F110" s="35" t="s">
        <v>73</v>
      </c>
      <c r="G110" s="35"/>
      <c r="H110" s="227">
        <f>SUM(H111)</f>
        <v>0</v>
      </c>
      <c r="I110" s="227">
        <f>SUM(I111)</f>
        <v>0</v>
      </c>
      <c r="J110" s="227">
        <f>SUM(J111)</f>
        <v>0</v>
      </c>
      <c r="K110" s="162">
        <v>0</v>
      </c>
      <c r="M110" s="20">
        <f t="shared" si="9"/>
        <v>0</v>
      </c>
      <c r="N110" s="20">
        <f t="shared" si="10"/>
        <v>0</v>
      </c>
      <c r="O110" s="20">
        <f t="shared" si="11"/>
        <v>0</v>
      </c>
    </row>
    <row r="111" spans="1:15" ht="12" customHeight="1" x14ac:dyDescent="0.2">
      <c r="A111" s="32">
        <v>103</v>
      </c>
      <c r="B111" s="215" t="s">
        <v>45</v>
      </c>
      <c r="C111" s="36">
        <v>807</v>
      </c>
      <c r="D111" s="47" t="s">
        <v>258</v>
      </c>
      <c r="E111" s="35" t="s">
        <v>259</v>
      </c>
      <c r="F111" s="35" t="s">
        <v>68</v>
      </c>
      <c r="G111" s="35" t="s">
        <v>46</v>
      </c>
      <c r="H111" s="227">
        <v>0</v>
      </c>
      <c r="I111" s="227">
        <v>0</v>
      </c>
      <c r="J111" s="227">
        <v>0</v>
      </c>
      <c r="K111" s="162">
        <v>0</v>
      </c>
      <c r="M111" s="20">
        <f t="shared" si="9"/>
        <v>0</v>
      </c>
      <c r="N111" s="20">
        <f t="shared" si="10"/>
        <v>0</v>
      </c>
      <c r="O111" s="20">
        <f t="shared" si="11"/>
        <v>0</v>
      </c>
    </row>
    <row r="112" spans="1:15" ht="12" customHeight="1" x14ac:dyDescent="0.2">
      <c r="A112" s="32">
        <v>104</v>
      </c>
      <c r="B112" s="169" t="s">
        <v>151</v>
      </c>
      <c r="C112" s="152">
        <v>807</v>
      </c>
      <c r="D112" s="152" t="s">
        <v>30</v>
      </c>
      <c r="E112" s="35"/>
      <c r="F112" s="35"/>
      <c r="G112" s="35"/>
      <c r="H112" s="235">
        <f>H113+H127</f>
        <v>937.702</v>
      </c>
      <c r="I112" s="235">
        <f>I113+I127</f>
        <v>2555.6777200000001</v>
      </c>
      <c r="J112" s="235">
        <f>J113+J127</f>
        <v>1841.2596599999999</v>
      </c>
      <c r="K112" s="162">
        <f t="shared" si="12"/>
        <v>72.045847001397334</v>
      </c>
      <c r="M112" s="20">
        <f t="shared" si="9"/>
        <v>937702</v>
      </c>
      <c r="N112" s="20">
        <f t="shared" si="10"/>
        <v>2555677.7200000002</v>
      </c>
      <c r="O112" s="20">
        <f t="shared" si="11"/>
        <v>1841259.66</v>
      </c>
    </row>
    <row r="113" spans="1:15" ht="12.75" x14ac:dyDescent="0.2">
      <c r="A113" s="32">
        <v>105</v>
      </c>
      <c r="B113" s="171" t="s">
        <v>152</v>
      </c>
      <c r="C113" s="152">
        <v>807</v>
      </c>
      <c r="D113" s="154" t="s">
        <v>31</v>
      </c>
      <c r="E113" s="35"/>
      <c r="F113" s="35"/>
      <c r="G113" s="35"/>
      <c r="H113" s="235">
        <f>H114+H122+H125</f>
        <v>937.702</v>
      </c>
      <c r="I113" s="235">
        <f>I114+I122+I125</f>
        <v>2399.0320000000002</v>
      </c>
      <c r="J113" s="235">
        <f>J114+J122+J125</f>
        <v>1684.61394</v>
      </c>
      <c r="K113" s="162">
        <f t="shared" si="12"/>
        <v>70.220569796484583</v>
      </c>
      <c r="M113" s="20">
        <f t="shared" si="9"/>
        <v>937702</v>
      </c>
      <c r="N113" s="20">
        <f t="shared" si="10"/>
        <v>2399032</v>
      </c>
      <c r="O113" s="20">
        <f t="shared" si="11"/>
        <v>1684613.94</v>
      </c>
    </row>
    <row r="114" spans="1:15" ht="38.25" x14ac:dyDescent="0.2">
      <c r="A114" s="32">
        <v>106</v>
      </c>
      <c r="B114" s="167" t="s">
        <v>204</v>
      </c>
      <c r="C114" s="36">
        <v>807</v>
      </c>
      <c r="D114" s="35" t="s">
        <v>31</v>
      </c>
      <c r="E114" s="35" t="s">
        <v>178</v>
      </c>
      <c r="F114" s="40"/>
      <c r="G114" s="40"/>
      <c r="H114" s="236">
        <f>H115</f>
        <v>780</v>
      </c>
      <c r="I114" s="236">
        <f>I115</f>
        <v>2015.7470000000001</v>
      </c>
      <c r="J114" s="236">
        <f>J115</f>
        <v>1484.9729399999999</v>
      </c>
      <c r="K114" s="162">
        <f t="shared" si="12"/>
        <v>73.668617142925171</v>
      </c>
      <c r="M114" s="20">
        <f t="shared" si="9"/>
        <v>780000</v>
      </c>
      <c r="N114" s="20">
        <f t="shared" si="10"/>
        <v>2015747</v>
      </c>
      <c r="O114" s="20">
        <f t="shared" si="11"/>
        <v>1484972.94</v>
      </c>
    </row>
    <row r="115" spans="1:15" ht="77.25" customHeight="1" x14ac:dyDescent="0.2">
      <c r="A115" s="32">
        <v>107</v>
      </c>
      <c r="B115" s="168" t="s">
        <v>78</v>
      </c>
      <c r="C115" s="36">
        <v>807</v>
      </c>
      <c r="D115" s="35" t="s">
        <v>31</v>
      </c>
      <c r="E115" s="35" t="s">
        <v>179</v>
      </c>
      <c r="F115" s="35" t="s">
        <v>73</v>
      </c>
      <c r="G115" s="35"/>
      <c r="H115" s="235">
        <f>SUM(H116:H121)</f>
        <v>780</v>
      </c>
      <c r="I115" s="235">
        <f>SUM(I116:I121)</f>
        <v>2015.7470000000001</v>
      </c>
      <c r="J115" s="235">
        <f>SUM(J116:J121)</f>
        <v>1484.9729399999999</v>
      </c>
      <c r="K115" s="162">
        <f t="shared" si="12"/>
        <v>73.668617142925171</v>
      </c>
      <c r="M115" s="20">
        <f t="shared" si="9"/>
        <v>780000</v>
      </c>
      <c r="N115" s="20">
        <f t="shared" si="10"/>
        <v>2015747</v>
      </c>
      <c r="O115" s="20">
        <f t="shared" si="11"/>
        <v>1484972.94</v>
      </c>
    </row>
    <row r="116" spans="1:15" ht="12.75" x14ac:dyDescent="0.2">
      <c r="A116" s="32">
        <v>108</v>
      </c>
      <c r="B116" s="215" t="s">
        <v>34</v>
      </c>
      <c r="C116" s="36">
        <v>807</v>
      </c>
      <c r="D116" s="35" t="s">
        <v>31</v>
      </c>
      <c r="E116" s="35" t="s">
        <v>180</v>
      </c>
      <c r="F116" s="35" t="s">
        <v>377</v>
      </c>
      <c r="G116" s="35" t="s">
        <v>42</v>
      </c>
      <c r="H116" s="235">
        <v>780</v>
      </c>
      <c r="I116" s="235">
        <v>780</v>
      </c>
      <c r="J116" s="235">
        <v>391.15787</v>
      </c>
      <c r="K116" s="162">
        <f t="shared" si="12"/>
        <v>50.148444871794872</v>
      </c>
      <c r="M116" s="20">
        <f t="shared" si="9"/>
        <v>780000</v>
      </c>
      <c r="N116" s="20">
        <f t="shared" si="10"/>
        <v>780000</v>
      </c>
      <c r="O116" s="20">
        <f t="shared" si="11"/>
        <v>391157.87</v>
      </c>
    </row>
    <row r="117" spans="1:15" ht="12.75" x14ac:dyDescent="0.2">
      <c r="A117" s="32">
        <v>109</v>
      </c>
      <c r="B117" s="215" t="s">
        <v>43</v>
      </c>
      <c r="C117" s="36">
        <v>807</v>
      </c>
      <c r="D117" s="35" t="s">
        <v>31</v>
      </c>
      <c r="E117" s="35" t="s">
        <v>181</v>
      </c>
      <c r="F117" s="35" t="s">
        <v>68</v>
      </c>
      <c r="G117" s="35" t="s">
        <v>44</v>
      </c>
      <c r="H117" s="235">
        <v>0</v>
      </c>
      <c r="I117" s="235">
        <v>0</v>
      </c>
      <c r="J117" s="235">
        <v>0</v>
      </c>
      <c r="K117" s="162">
        <v>0</v>
      </c>
      <c r="M117" s="20">
        <f t="shared" si="9"/>
        <v>0</v>
      </c>
      <c r="N117" s="20">
        <f t="shared" si="10"/>
        <v>0</v>
      </c>
      <c r="O117" s="20">
        <f t="shared" si="11"/>
        <v>0</v>
      </c>
    </row>
    <row r="118" spans="1:15" ht="12.75" x14ac:dyDescent="0.2">
      <c r="A118" s="32">
        <v>110</v>
      </c>
      <c r="B118" s="215" t="s">
        <v>208</v>
      </c>
      <c r="C118" s="36">
        <v>807</v>
      </c>
      <c r="D118" s="35" t="s">
        <v>31</v>
      </c>
      <c r="E118" s="35" t="s">
        <v>181</v>
      </c>
      <c r="F118" s="35" t="s">
        <v>68</v>
      </c>
      <c r="G118" s="35" t="s">
        <v>207</v>
      </c>
      <c r="H118" s="235">
        <v>0</v>
      </c>
      <c r="I118" s="235">
        <v>7.3764700000000003</v>
      </c>
      <c r="J118" s="235">
        <v>7.3764700000000003</v>
      </c>
      <c r="K118" s="162">
        <v>0</v>
      </c>
      <c r="M118" s="20"/>
      <c r="N118" s="20"/>
      <c r="O118" s="20"/>
    </row>
    <row r="119" spans="1:15" ht="12.75" x14ac:dyDescent="0.2">
      <c r="A119" s="32">
        <v>111</v>
      </c>
      <c r="B119" s="215" t="s">
        <v>35</v>
      </c>
      <c r="C119" s="36">
        <v>807</v>
      </c>
      <c r="D119" s="35" t="s">
        <v>31</v>
      </c>
      <c r="E119" s="35" t="s">
        <v>181</v>
      </c>
      <c r="F119" s="35" t="s">
        <v>68</v>
      </c>
      <c r="G119" s="35" t="s">
        <v>49</v>
      </c>
      <c r="H119" s="235">
        <v>0</v>
      </c>
      <c r="I119" s="235">
        <v>840</v>
      </c>
      <c r="J119" s="235">
        <v>840</v>
      </c>
      <c r="K119" s="162">
        <v>0</v>
      </c>
      <c r="M119" s="20">
        <f t="shared" si="9"/>
        <v>0</v>
      </c>
      <c r="N119" s="20">
        <f t="shared" si="10"/>
        <v>840000</v>
      </c>
      <c r="O119" s="20">
        <f t="shared" si="11"/>
        <v>840000</v>
      </c>
    </row>
    <row r="120" spans="1:15" ht="12.75" x14ac:dyDescent="0.2">
      <c r="A120" s="32">
        <v>112</v>
      </c>
      <c r="B120" s="215" t="s">
        <v>52</v>
      </c>
      <c r="C120" s="36">
        <v>807</v>
      </c>
      <c r="D120" s="35" t="s">
        <v>31</v>
      </c>
      <c r="E120" s="35" t="s">
        <v>181</v>
      </c>
      <c r="F120" s="35" t="s">
        <v>68</v>
      </c>
      <c r="G120" s="35" t="s">
        <v>40</v>
      </c>
      <c r="H120" s="235">
        <v>0</v>
      </c>
      <c r="I120" s="235">
        <v>388.37052999999997</v>
      </c>
      <c r="J120" s="235">
        <v>246.43860000000001</v>
      </c>
      <c r="K120" s="162">
        <f t="shared" si="12"/>
        <v>63.45450567528902</v>
      </c>
      <c r="M120" s="20">
        <f t="shared" si="9"/>
        <v>0</v>
      </c>
      <c r="N120" s="20">
        <f t="shared" si="10"/>
        <v>388370.52999999997</v>
      </c>
      <c r="O120" s="20">
        <f t="shared" si="11"/>
        <v>246438.6</v>
      </c>
    </row>
    <row r="121" spans="1:15" ht="12.75" x14ac:dyDescent="0.2">
      <c r="A121" s="32">
        <v>113</v>
      </c>
      <c r="B121" s="215" t="s">
        <v>45</v>
      </c>
      <c r="C121" s="36">
        <v>807</v>
      </c>
      <c r="D121" s="35" t="s">
        <v>31</v>
      </c>
      <c r="E121" s="35" t="s">
        <v>181</v>
      </c>
      <c r="F121" s="35" t="s">
        <v>68</v>
      </c>
      <c r="G121" s="35" t="s">
        <v>46</v>
      </c>
      <c r="H121" s="235">
        <v>0</v>
      </c>
      <c r="I121" s="235">
        <v>0</v>
      </c>
      <c r="J121" s="235">
        <v>0</v>
      </c>
      <c r="K121" s="162">
        <v>0</v>
      </c>
      <c r="M121" s="20">
        <f t="shared" si="9"/>
        <v>0</v>
      </c>
      <c r="N121" s="20">
        <f t="shared" si="10"/>
        <v>0</v>
      </c>
      <c r="O121" s="20">
        <f t="shared" si="11"/>
        <v>0</v>
      </c>
    </row>
    <row r="122" spans="1:15" ht="12.75" x14ac:dyDescent="0.2">
      <c r="A122" s="32">
        <v>114</v>
      </c>
      <c r="B122" s="215" t="s">
        <v>76</v>
      </c>
      <c r="C122" s="36">
        <v>807</v>
      </c>
      <c r="D122" s="35" t="s">
        <v>31</v>
      </c>
      <c r="E122" s="35" t="s">
        <v>261</v>
      </c>
      <c r="F122" s="35" t="s">
        <v>73</v>
      </c>
      <c r="G122" s="35"/>
      <c r="H122" s="235">
        <f>SUM(H123:H124)</f>
        <v>157.702</v>
      </c>
      <c r="I122" s="235">
        <f>SUM(I123:I124)</f>
        <v>157.702</v>
      </c>
      <c r="J122" s="235">
        <f>SUM(J123:J124)</f>
        <v>74.400000000000006</v>
      </c>
      <c r="K122" s="162">
        <f t="shared" si="12"/>
        <v>47.177588109218654</v>
      </c>
      <c r="M122" s="20">
        <f t="shared" si="9"/>
        <v>157702</v>
      </c>
      <c r="N122" s="20">
        <f t="shared" si="10"/>
        <v>157702</v>
      </c>
      <c r="O122" s="20">
        <f t="shared" si="11"/>
        <v>74400</v>
      </c>
    </row>
    <row r="123" spans="1:15" ht="12.75" x14ac:dyDescent="0.2">
      <c r="A123" s="32">
        <v>115</v>
      </c>
      <c r="B123" s="215" t="s">
        <v>45</v>
      </c>
      <c r="C123" s="36">
        <v>807</v>
      </c>
      <c r="D123" s="35" t="s">
        <v>31</v>
      </c>
      <c r="E123" s="35" t="s">
        <v>261</v>
      </c>
      <c r="F123" s="35" t="s">
        <v>68</v>
      </c>
      <c r="G123" s="35" t="s">
        <v>46</v>
      </c>
      <c r="H123" s="235">
        <v>157.702</v>
      </c>
      <c r="I123" s="235">
        <v>157.702</v>
      </c>
      <c r="J123" s="235">
        <v>74.400000000000006</v>
      </c>
      <c r="K123" s="162">
        <f t="shared" si="12"/>
        <v>47.177588109218654</v>
      </c>
      <c r="M123" s="20">
        <f t="shared" si="9"/>
        <v>157702</v>
      </c>
      <c r="N123" s="20">
        <f t="shared" si="10"/>
        <v>157702</v>
      </c>
      <c r="O123" s="20">
        <f t="shared" si="11"/>
        <v>74400</v>
      </c>
    </row>
    <row r="124" spans="1:15" ht="12.75" x14ac:dyDescent="0.2">
      <c r="A124" s="32">
        <v>116</v>
      </c>
      <c r="B124" s="215" t="s">
        <v>47</v>
      </c>
      <c r="C124" s="36">
        <v>807</v>
      </c>
      <c r="D124" s="35" t="s">
        <v>31</v>
      </c>
      <c r="E124" s="35" t="s">
        <v>261</v>
      </c>
      <c r="F124" s="35" t="s">
        <v>68</v>
      </c>
      <c r="G124" s="35" t="s">
        <v>48</v>
      </c>
      <c r="H124" s="235">
        <v>0</v>
      </c>
      <c r="I124" s="235">
        <v>0</v>
      </c>
      <c r="J124" s="235">
        <v>0</v>
      </c>
      <c r="K124" s="162">
        <v>0</v>
      </c>
      <c r="M124" s="20">
        <f t="shared" si="9"/>
        <v>0</v>
      </c>
      <c r="N124" s="20">
        <f t="shared" si="10"/>
        <v>0</v>
      </c>
      <c r="O124" s="20">
        <f t="shared" si="11"/>
        <v>0</v>
      </c>
    </row>
    <row r="125" spans="1:15" ht="12.75" x14ac:dyDescent="0.2">
      <c r="A125" s="32">
        <v>117</v>
      </c>
      <c r="B125" s="215" t="s">
        <v>76</v>
      </c>
      <c r="C125" s="36">
        <v>807</v>
      </c>
      <c r="D125" s="35" t="s">
        <v>31</v>
      </c>
      <c r="E125" s="35" t="s">
        <v>483</v>
      </c>
      <c r="F125" s="35" t="s">
        <v>73</v>
      </c>
      <c r="G125" s="35"/>
      <c r="H125" s="235">
        <f>H126</f>
        <v>0</v>
      </c>
      <c r="I125" s="235">
        <f>I126</f>
        <v>225.583</v>
      </c>
      <c r="J125" s="235">
        <f>J126</f>
        <v>125.241</v>
      </c>
      <c r="K125" s="162">
        <f>J125/I125*100</f>
        <v>55.518811257940534</v>
      </c>
      <c r="M125" s="20"/>
      <c r="N125" s="20"/>
      <c r="O125" s="20"/>
    </row>
    <row r="126" spans="1:15" ht="12.75" x14ac:dyDescent="0.2">
      <c r="A126" s="32">
        <v>118</v>
      </c>
      <c r="B126" s="215" t="s">
        <v>35</v>
      </c>
      <c r="C126" s="36">
        <v>807</v>
      </c>
      <c r="D126" s="35" t="s">
        <v>31</v>
      </c>
      <c r="E126" s="35" t="s">
        <v>483</v>
      </c>
      <c r="F126" s="35" t="s">
        <v>68</v>
      </c>
      <c r="G126" s="35" t="s">
        <v>475</v>
      </c>
      <c r="H126" s="235">
        <v>0</v>
      </c>
      <c r="I126" s="235">
        <v>225.583</v>
      </c>
      <c r="J126" s="235">
        <v>125.241</v>
      </c>
      <c r="K126" s="162">
        <v>0</v>
      </c>
      <c r="M126" s="20"/>
      <c r="N126" s="20"/>
      <c r="O126" s="20"/>
    </row>
    <row r="127" spans="1:15" ht="12.75" x14ac:dyDescent="0.2">
      <c r="A127" s="32">
        <v>119</v>
      </c>
      <c r="B127" s="237" t="s">
        <v>439</v>
      </c>
      <c r="C127" s="36">
        <v>807</v>
      </c>
      <c r="D127" s="47" t="s">
        <v>107</v>
      </c>
      <c r="E127" s="35"/>
      <c r="F127" s="35"/>
      <c r="G127" s="35"/>
      <c r="H127" s="227">
        <f>H128</f>
        <v>0</v>
      </c>
      <c r="I127" s="227">
        <f>I128</f>
        <v>156.64571999999998</v>
      </c>
      <c r="J127" s="227">
        <f>J128</f>
        <v>156.64571999999998</v>
      </c>
      <c r="K127" s="162">
        <v>0</v>
      </c>
      <c r="M127" s="20">
        <f t="shared" si="9"/>
        <v>0</v>
      </c>
      <c r="N127" s="20">
        <f t="shared" si="10"/>
        <v>156645.71999999997</v>
      </c>
      <c r="O127" s="20">
        <f t="shared" si="11"/>
        <v>156645.71999999997</v>
      </c>
    </row>
    <row r="128" spans="1:15" ht="12.75" x14ac:dyDescent="0.2">
      <c r="A128" s="32">
        <v>120</v>
      </c>
      <c r="B128" s="215" t="s">
        <v>76</v>
      </c>
      <c r="C128" s="36">
        <v>807</v>
      </c>
      <c r="D128" s="47" t="s">
        <v>107</v>
      </c>
      <c r="E128" s="35" t="s">
        <v>190</v>
      </c>
      <c r="F128" s="35" t="s">
        <v>73</v>
      </c>
      <c r="G128" s="35"/>
      <c r="H128" s="227">
        <f>SUM(H130)</f>
        <v>0</v>
      </c>
      <c r="I128" s="227">
        <f>SUM(I129:I130)</f>
        <v>156.64571999999998</v>
      </c>
      <c r="J128" s="227">
        <f>SUM(J129:J130)</f>
        <v>156.64571999999998</v>
      </c>
      <c r="K128" s="162">
        <v>0</v>
      </c>
      <c r="M128" s="20">
        <f t="shared" si="9"/>
        <v>0</v>
      </c>
      <c r="N128" s="20">
        <f t="shared" si="10"/>
        <v>156645.71999999997</v>
      </c>
      <c r="O128" s="20">
        <f t="shared" si="11"/>
        <v>156645.71999999997</v>
      </c>
    </row>
    <row r="129" spans="1:15" ht="12.75" x14ac:dyDescent="0.2">
      <c r="A129" s="32">
        <v>121</v>
      </c>
      <c r="B129" s="215" t="s">
        <v>43</v>
      </c>
      <c r="C129" s="36">
        <v>807</v>
      </c>
      <c r="D129" s="47" t="s">
        <v>107</v>
      </c>
      <c r="E129" s="35" t="s">
        <v>190</v>
      </c>
      <c r="F129" s="35" t="s">
        <v>68</v>
      </c>
      <c r="G129" s="35" t="s">
        <v>44</v>
      </c>
      <c r="H129" s="227">
        <v>0</v>
      </c>
      <c r="I129" s="227">
        <v>145.01903999999999</v>
      </c>
      <c r="J129" s="227">
        <v>145.01903999999999</v>
      </c>
      <c r="K129" s="162"/>
      <c r="M129" s="20"/>
      <c r="N129" s="20"/>
      <c r="O129" s="20"/>
    </row>
    <row r="130" spans="1:15" ht="12.75" x14ac:dyDescent="0.2">
      <c r="A130" s="32">
        <v>122</v>
      </c>
      <c r="B130" s="215" t="s">
        <v>45</v>
      </c>
      <c r="C130" s="36">
        <v>807</v>
      </c>
      <c r="D130" s="47" t="s">
        <v>107</v>
      </c>
      <c r="E130" s="35" t="s">
        <v>190</v>
      </c>
      <c r="F130" s="35" t="s">
        <v>68</v>
      </c>
      <c r="G130" s="35" t="s">
        <v>46</v>
      </c>
      <c r="H130" s="227">
        <v>0</v>
      </c>
      <c r="I130" s="227">
        <v>11.62668</v>
      </c>
      <c r="J130" s="227">
        <v>11.62668</v>
      </c>
      <c r="K130" s="162">
        <v>0</v>
      </c>
      <c r="M130" s="20">
        <f t="shared" si="9"/>
        <v>0</v>
      </c>
      <c r="N130" s="20">
        <f t="shared" si="10"/>
        <v>11626.68</v>
      </c>
      <c r="O130" s="20">
        <f t="shared" si="11"/>
        <v>11626.68</v>
      </c>
    </row>
    <row r="131" spans="1:15" ht="17.25" customHeight="1" x14ac:dyDescent="0.2">
      <c r="A131" s="32">
        <v>123</v>
      </c>
      <c r="B131" s="49" t="s">
        <v>153</v>
      </c>
      <c r="C131" s="50">
        <v>807</v>
      </c>
      <c r="D131" s="51" t="s">
        <v>28</v>
      </c>
      <c r="E131" s="51"/>
      <c r="F131" s="51"/>
      <c r="G131" s="52"/>
      <c r="H131" s="229">
        <f t="shared" ref="H131:J132" si="15">H132</f>
        <v>1</v>
      </c>
      <c r="I131" s="229">
        <f t="shared" si="15"/>
        <v>1</v>
      </c>
      <c r="J131" s="229">
        <f t="shared" si="15"/>
        <v>1</v>
      </c>
      <c r="K131" s="162">
        <f t="shared" si="12"/>
        <v>100</v>
      </c>
      <c r="M131" s="20">
        <f t="shared" si="9"/>
        <v>1000</v>
      </c>
      <c r="N131" s="20">
        <f t="shared" si="10"/>
        <v>1000</v>
      </c>
      <c r="O131" s="20">
        <f t="shared" si="11"/>
        <v>1000</v>
      </c>
    </row>
    <row r="132" spans="1:15" ht="12.75" x14ac:dyDescent="0.2">
      <c r="A132" s="32">
        <v>124</v>
      </c>
      <c r="B132" s="158" t="s">
        <v>211</v>
      </c>
      <c r="C132" s="152">
        <v>807</v>
      </c>
      <c r="D132" s="152" t="s">
        <v>28</v>
      </c>
      <c r="E132" s="152" t="s">
        <v>154</v>
      </c>
      <c r="F132" s="152" t="s">
        <v>154</v>
      </c>
      <c r="G132" s="35"/>
      <c r="H132" s="227">
        <f t="shared" si="15"/>
        <v>1</v>
      </c>
      <c r="I132" s="227">
        <f t="shared" si="15"/>
        <v>1</v>
      </c>
      <c r="J132" s="227">
        <f t="shared" si="15"/>
        <v>1</v>
      </c>
      <c r="K132" s="162">
        <f t="shared" si="12"/>
        <v>100</v>
      </c>
      <c r="M132" s="20">
        <f t="shared" si="9"/>
        <v>1000</v>
      </c>
      <c r="N132" s="20">
        <f t="shared" si="10"/>
        <v>1000</v>
      </c>
      <c r="O132" s="20">
        <f t="shared" si="11"/>
        <v>1000</v>
      </c>
    </row>
    <row r="133" spans="1:15" ht="38.25" x14ac:dyDescent="0.2">
      <c r="A133" s="32">
        <v>125</v>
      </c>
      <c r="B133" s="64" t="s">
        <v>212</v>
      </c>
      <c r="C133" s="152">
        <v>807</v>
      </c>
      <c r="D133" s="152" t="s">
        <v>28</v>
      </c>
      <c r="E133" s="152" t="s">
        <v>213</v>
      </c>
      <c r="F133" s="152" t="s">
        <v>154</v>
      </c>
      <c r="G133" s="35"/>
      <c r="H133" s="227">
        <f>SUM(H134)</f>
        <v>1</v>
      </c>
      <c r="I133" s="227">
        <f>SUM(I134)</f>
        <v>1</v>
      </c>
      <c r="J133" s="227">
        <f>SUM(J134)</f>
        <v>1</v>
      </c>
      <c r="K133" s="162">
        <f t="shared" si="12"/>
        <v>100</v>
      </c>
      <c r="M133" s="20">
        <f t="shared" si="9"/>
        <v>1000</v>
      </c>
      <c r="N133" s="20">
        <f t="shared" si="10"/>
        <v>1000</v>
      </c>
      <c r="O133" s="20">
        <f t="shared" si="11"/>
        <v>1000</v>
      </c>
    </row>
    <row r="134" spans="1:15" ht="12.75" x14ac:dyDescent="0.2">
      <c r="A134" s="32">
        <v>126</v>
      </c>
      <c r="B134" s="151" t="s">
        <v>214</v>
      </c>
      <c r="C134" s="152">
        <v>807</v>
      </c>
      <c r="D134" s="152" t="s">
        <v>28</v>
      </c>
      <c r="E134" s="152">
        <v>6400080000</v>
      </c>
      <c r="F134" s="152" t="s">
        <v>154</v>
      </c>
      <c r="G134" s="35"/>
      <c r="H134" s="227">
        <f>H135</f>
        <v>1</v>
      </c>
      <c r="I134" s="227">
        <f t="shared" ref="I134:J136" si="16">I135</f>
        <v>1</v>
      </c>
      <c r="J134" s="227">
        <f t="shared" si="16"/>
        <v>1</v>
      </c>
      <c r="K134" s="162">
        <f t="shared" si="12"/>
        <v>100</v>
      </c>
      <c r="M134" s="20">
        <f t="shared" si="9"/>
        <v>1000</v>
      </c>
      <c r="N134" s="20">
        <f t="shared" si="10"/>
        <v>1000</v>
      </c>
      <c r="O134" s="20">
        <f t="shared" si="11"/>
        <v>1000</v>
      </c>
    </row>
    <row r="135" spans="1:15" ht="38.25" x14ac:dyDescent="0.2">
      <c r="A135" s="32">
        <v>127</v>
      </c>
      <c r="B135" s="151" t="s">
        <v>215</v>
      </c>
      <c r="C135" s="152">
        <v>807</v>
      </c>
      <c r="D135" s="152" t="s">
        <v>28</v>
      </c>
      <c r="E135" s="152">
        <v>6400087000</v>
      </c>
      <c r="F135" s="152" t="s">
        <v>154</v>
      </c>
      <c r="G135" s="35"/>
      <c r="H135" s="227">
        <f>H136</f>
        <v>1</v>
      </c>
      <c r="I135" s="227">
        <f t="shared" si="16"/>
        <v>1</v>
      </c>
      <c r="J135" s="227">
        <f t="shared" si="16"/>
        <v>1</v>
      </c>
      <c r="K135" s="162">
        <f t="shared" si="12"/>
        <v>100</v>
      </c>
      <c r="M135" s="20">
        <f t="shared" si="9"/>
        <v>1000</v>
      </c>
      <c r="N135" s="20">
        <f t="shared" si="10"/>
        <v>1000</v>
      </c>
      <c r="O135" s="20">
        <f t="shared" si="11"/>
        <v>1000</v>
      </c>
    </row>
    <row r="136" spans="1:15" ht="12.75" x14ac:dyDescent="0.2">
      <c r="A136" s="32">
        <v>128</v>
      </c>
      <c r="B136" s="151" t="s">
        <v>216</v>
      </c>
      <c r="C136" s="152">
        <v>807</v>
      </c>
      <c r="D136" s="152" t="s">
        <v>28</v>
      </c>
      <c r="E136" s="152">
        <v>6400087000</v>
      </c>
      <c r="F136" s="152">
        <v>500</v>
      </c>
      <c r="G136" s="35" t="s">
        <v>81</v>
      </c>
      <c r="H136" s="227">
        <f>H137</f>
        <v>1</v>
      </c>
      <c r="I136" s="227">
        <f t="shared" si="16"/>
        <v>1</v>
      </c>
      <c r="J136" s="227">
        <f t="shared" si="16"/>
        <v>1</v>
      </c>
      <c r="K136" s="162">
        <f t="shared" si="12"/>
        <v>100</v>
      </c>
      <c r="M136" s="20">
        <f t="shared" si="9"/>
        <v>1000</v>
      </c>
      <c r="N136" s="20">
        <f t="shared" si="10"/>
        <v>1000</v>
      </c>
      <c r="O136" s="20">
        <f t="shared" si="11"/>
        <v>1000</v>
      </c>
    </row>
    <row r="137" spans="1:15" ht="14.25" customHeight="1" x14ac:dyDescent="0.2">
      <c r="A137" s="32">
        <v>129</v>
      </c>
      <c r="B137" s="151" t="s">
        <v>56</v>
      </c>
      <c r="C137" s="152">
        <v>807</v>
      </c>
      <c r="D137" s="152" t="s">
        <v>28</v>
      </c>
      <c r="E137" s="152">
        <v>6400087000</v>
      </c>
      <c r="F137" s="152">
        <v>540</v>
      </c>
      <c r="G137" s="35" t="s">
        <v>81</v>
      </c>
      <c r="H137" s="227">
        <v>1</v>
      </c>
      <c r="I137" s="227">
        <v>1</v>
      </c>
      <c r="J137" s="227">
        <v>1</v>
      </c>
      <c r="K137" s="162">
        <f t="shared" si="12"/>
        <v>100</v>
      </c>
      <c r="M137" s="20">
        <f t="shared" si="9"/>
        <v>1000</v>
      </c>
      <c r="N137" s="20">
        <f t="shared" si="10"/>
        <v>1000</v>
      </c>
      <c r="O137" s="20">
        <f t="shared" si="11"/>
        <v>1000</v>
      </c>
    </row>
    <row r="138" spans="1:15" ht="12.75" hidden="1" customHeight="1" x14ac:dyDescent="0.2">
      <c r="A138" s="32">
        <v>130</v>
      </c>
      <c r="B138" s="215" t="s">
        <v>187</v>
      </c>
      <c r="C138" s="36">
        <v>807</v>
      </c>
      <c r="D138" s="35" t="s">
        <v>107</v>
      </c>
      <c r="E138" s="35"/>
      <c r="F138" s="35"/>
      <c r="G138" s="35"/>
      <c r="H138" s="227">
        <f>H139</f>
        <v>0</v>
      </c>
      <c r="I138" s="230">
        <f t="shared" ref="I138:J140" si="17">I139</f>
        <v>0</v>
      </c>
      <c r="J138" s="230">
        <f t="shared" si="17"/>
        <v>0</v>
      </c>
      <c r="K138" s="162" t="e">
        <f t="shared" si="12"/>
        <v>#DIV/0!</v>
      </c>
      <c r="M138" s="20">
        <f t="shared" ref="M138:M153" si="18">H138*1000</f>
        <v>0</v>
      </c>
      <c r="N138" s="20">
        <f t="shared" ref="N138:N153" si="19">I138*1000</f>
        <v>0</v>
      </c>
      <c r="O138" s="20">
        <f t="shared" ref="O138:O153" si="20">J138*1000</f>
        <v>0</v>
      </c>
    </row>
    <row r="139" spans="1:15" ht="12.75" hidden="1" customHeight="1" x14ac:dyDescent="0.2">
      <c r="A139" s="32">
        <v>131</v>
      </c>
      <c r="B139" s="48" t="s">
        <v>188</v>
      </c>
      <c r="C139" s="36">
        <v>807</v>
      </c>
      <c r="D139" s="35" t="s">
        <v>107</v>
      </c>
      <c r="E139" s="35"/>
      <c r="F139" s="35"/>
      <c r="G139" s="35"/>
      <c r="H139" s="227">
        <f>H140</f>
        <v>0</v>
      </c>
      <c r="I139" s="230">
        <f t="shared" si="17"/>
        <v>0</v>
      </c>
      <c r="J139" s="230">
        <f t="shared" si="17"/>
        <v>0</v>
      </c>
      <c r="K139" s="162" t="e">
        <f t="shared" si="12"/>
        <v>#DIV/0!</v>
      </c>
      <c r="M139" s="20">
        <f t="shared" si="18"/>
        <v>0</v>
      </c>
      <c r="N139" s="20">
        <f t="shared" si="19"/>
        <v>0</v>
      </c>
      <c r="O139" s="20">
        <f t="shared" si="20"/>
        <v>0</v>
      </c>
    </row>
    <row r="140" spans="1:15" ht="12.75" hidden="1" customHeight="1" x14ac:dyDescent="0.2">
      <c r="A140" s="32">
        <v>132</v>
      </c>
      <c r="B140" s="215" t="s">
        <v>144</v>
      </c>
      <c r="C140" s="36">
        <v>807</v>
      </c>
      <c r="D140" s="35" t="s">
        <v>107</v>
      </c>
      <c r="E140" s="35" t="s">
        <v>190</v>
      </c>
      <c r="F140" s="35" t="s">
        <v>191</v>
      </c>
      <c r="G140" s="35"/>
      <c r="H140" s="227">
        <f>H141</f>
        <v>0</v>
      </c>
      <c r="I140" s="230">
        <f t="shared" si="17"/>
        <v>0</v>
      </c>
      <c r="J140" s="230">
        <f t="shared" si="17"/>
        <v>0</v>
      </c>
      <c r="K140" s="162" t="e">
        <f t="shared" si="12"/>
        <v>#DIV/0!</v>
      </c>
      <c r="M140" s="20">
        <f t="shared" si="18"/>
        <v>0</v>
      </c>
      <c r="N140" s="20">
        <f t="shared" si="19"/>
        <v>0</v>
      </c>
      <c r="O140" s="20">
        <f t="shared" si="20"/>
        <v>0</v>
      </c>
    </row>
    <row r="141" spans="1:15" ht="12.75" hidden="1" customHeight="1" x14ac:dyDescent="0.2">
      <c r="A141" s="32">
        <v>133</v>
      </c>
      <c r="B141" s="215" t="s">
        <v>189</v>
      </c>
      <c r="C141" s="36">
        <v>807</v>
      </c>
      <c r="D141" s="35" t="s">
        <v>107</v>
      </c>
      <c r="E141" s="35" t="s">
        <v>190</v>
      </c>
      <c r="F141" s="35" t="s">
        <v>192</v>
      </c>
      <c r="G141" s="35" t="s">
        <v>193</v>
      </c>
      <c r="H141" s="227">
        <v>0</v>
      </c>
      <c r="I141" s="230">
        <v>0</v>
      </c>
      <c r="J141" s="230">
        <v>0</v>
      </c>
      <c r="K141" s="162" t="e">
        <f t="shared" si="12"/>
        <v>#DIV/0!</v>
      </c>
      <c r="M141" s="20">
        <f t="shared" si="18"/>
        <v>0</v>
      </c>
      <c r="N141" s="20">
        <f t="shared" si="19"/>
        <v>0</v>
      </c>
      <c r="O141" s="20">
        <f t="shared" si="20"/>
        <v>0</v>
      </c>
    </row>
    <row r="142" spans="1:15" ht="13.5" x14ac:dyDescent="0.2">
      <c r="A142" s="32">
        <v>134</v>
      </c>
      <c r="B142" s="148" t="s">
        <v>238</v>
      </c>
      <c r="C142" s="149">
        <v>807</v>
      </c>
      <c r="D142" s="149">
        <v>1000</v>
      </c>
      <c r="E142" s="149" t="s">
        <v>154</v>
      </c>
      <c r="F142" s="149" t="s">
        <v>154</v>
      </c>
      <c r="G142" s="35"/>
      <c r="H142" s="229">
        <f>H143+H149</f>
        <v>62.231999999999999</v>
      </c>
      <c r="I142" s="229">
        <f>I143+I149</f>
        <v>132.232</v>
      </c>
      <c r="J142" s="229">
        <f>J143+J149</f>
        <v>110</v>
      </c>
      <c r="K142" s="162">
        <f t="shared" si="12"/>
        <v>83.18712565793453</v>
      </c>
      <c r="M142" s="20">
        <f t="shared" si="18"/>
        <v>62232</v>
      </c>
      <c r="N142" s="20">
        <f t="shared" si="19"/>
        <v>132232</v>
      </c>
      <c r="O142" s="20">
        <f t="shared" si="20"/>
        <v>110000</v>
      </c>
    </row>
    <row r="143" spans="1:15" ht="12.75" x14ac:dyDescent="0.2">
      <c r="A143" s="32">
        <v>135</v>
      </c>
      <c r="B143" s="151" t="s">
        <v>239</v>
      </c>
      <c r="C143" s="152">
        <v>807</v>
      </c>
      <c r="D143" s="152">
        <v>1001</v>
      </c>
      <c r="E143" s="152" t="s">
        <v>154</v>
      </c>
      <c r="F143" s="152" t="s">
        <v>154</v>
      </c>
      <c r="G143" s="35"/>
      <c r="H143" s="227">
        <f>H144</f>
        <v>62.231999999999999</v>
      </c>
      <c r="I143" s="227">
        <f>I144</f>
        <v>62.231999999999999</v>
      </c>
      <c r="J143" s="227">
        <f>J144</f>
        <v>40</v>
      </c>
      <c r="K143" s="162">
        <f t="shared" si="12"/>
        <v>64.2756138321121</v>
      </c>
      <c r="M143" s="20">
        <f t="shared" si="18"/>
        <v>62232</v>
      </c>
      <c r="N143" s="20">
        <f t="shared" si="19"/>
        <v>62232</v>
      </c>
      <c r="O143" s="20">
        <f t="shared" si="20"/>
        <v>40000</v>
      </c>
    </row>
    <row r="144" spans="1:15" ht="12.75" x14ac:dyDescent="0.2">
      <c r="A144" s="32">
        <v>136</v>
      </c>
      <c r="B144" s="64" t="s">
        <v>142</v>
      </c>
      <c r="C144" s="152">
        <v>807</v>
      </c>
      <c r="D144" s="152">
        <v>1001</v>
      </c>
      <c r="E144" s="152" t="s">
        <v>241</v>
      </c>
      <c r="F144" s="152" t="s">
        <v>154</v>
      </c>
      <c r="G144" s="35"/>
      <c r="H144" s="227">
        <f>SUM(H145)</f>
        <v>62.231999999999999</v>
      </c>
      <c r="I144" s="227">
        <f>SUM(I145)</f>
        <v>62.231999999999999</v>
      </c>
      <c r="J144" s="227">
        <f>SUM(J145)</f>
        <v>40</v>
      </c>
      <c r="K144" s="162">
        <f t="shared" si="12"/>
        <v>64.2756138321121</v>
      </c>
      <c r="M144" s="20">
        <f t="shared" si="18"/>
        <v>62232</v>
      </c>
      <c r="N144" s="20">
        <f t="shared" si="19"/>
        <v>62232</v>
      </c>
      <c r="O144" s="20">
        <f t="shared" si="20"/>
        <v>40000</v>
      </c>
    </row>
    <row r="145" spans="1:15" ht="25.5" x14ac:dyDescent="0.2">
      <c r="A145" s="32">
        <v>137</v>
      </c>
      <c r="B145" s="151" t="s">
        <v>235</v>
      </c>
      <c r="C145" s="152">
        <v>807</v>
      </c>
      <c r="D145" s="152">
        <v>1001</v>
      </c>
      <c r="E145" s="152">
        <v>6300080000</v>
      </c>
      <c r="F145" s="152" t="s">
        <v>154</v>
      </c>
      <c r="G145" s="35"/>
      <c r="H145" s="227">
        <f>H146</f>
        <v>62.231999999999999</v>
      </c>
      <c r="I145" s="227">
        <f t="shared" ref="I145:J147" si="21">I146</f>
        <v>62.231999999999999</v>
      </c>
      <c r="J145" s="227">
        <f t="shared" si="21"/>
        <v>40</v>
      </c>
      <c r="K145" s="162">
        <f t="shared" si="12"/>
        <v>64.2756138321121</v>
      </c>
      <c r="M145" s="20">
        <f t="shared" si="18"/>
        <v>62232</v>
      </c>
      <c r="N145" s="20">
        <f t="shared" si="19"/>
        <v>62232</v>
      </c>
      <c r="O145" s="20">
        <f t="shared" si="20"/>
        <v>40000</v>
      </c>
    </row>
    <row r="146" spans="1:15" ht="12.75" x14ac:dyDescent="0.2">
      <c r="A146" s="32">
        <v>138</v>
      </c>
      <c r="B146" s="151" t="s">
        <v>236</v>
      </c>
      <c r="C146" s="152">
        <v>807</v>
      </c>
      <c r="D146" s="152">
        <v>1001</v>
      </c>
      <c r="E146" s="152">
        <v>6300080230</v>
      </c>
      <c r="F146" s="152" t="s">
        <v>154</v>
      </c>
      <c r="G146" s="35"/>
      <c r="H146" s="227">
        <f>H147</f>
        <v>62.231999999999999</v>
      </c>
      <c r="I146" s="227">
        <f t="shared" si="21"/>
        <v>62.231999999999999</v>
      </c>
      <c r="J146" s="227">
        <f t="shared" si="21"/>
        <v>40</v>
      </c>
      <c r="K146" s="162">
        <f t="shared" si="12"/>
        <v>64.2756138321121</v>
      </c>
      <c r="M146" s="20">
        <f t="shared" si="18"/>
        <v>62232</v>
      </c>
      <c r="N146" s="20">
        <f t="shared" si="19"/>
        <v>62232</v>
      </c>
      <c r="O146" s="20">
        <f t="shared" si="20"/>
        <v>40000</v>
      </c>
    </row>
    <row r="147" spans="1:15" ht="12.75" x14ac:dyDescent="0.2">
      <c r="A147" s="32">
        <v>139</v>
      </c>
      <c r="B147" s="151" t="s">
        <v>242</v>
      </c>
      <c r="C147" s="152">
        <v>807</v>
      </c>
      <c r="D147" s="152">
        <v>1001</v>
      </c>
      <c r="E147" s="152">
        <v>6300080230</v>
      </c>
      <c r="F147" s="152">
        <v>300</v>
      </c>
      <c r="G147" s="35" t="s">
        <v>257</v>
      </c>
      <c r="H147" s="227">
        <f>H148</f>
        <v>62.231999999999999</v>
      </c>
      <c r="I147" s="227">
        <f t="shared" si="21"/>
        <v>62.231999999999999</v>
      </c>
      <c r="J147" s="227">
        <f t="shared" si="21"/>
        <v>40</v>
      </c>
      <c r="K147" s="162">
        <f t="shared" si="12"/>
        <v>64.2756138321121</v>
      </c>
      <c r="M147" s="20">
        <f t="shared" si="18"/>
        <v>62232</v>
      </c>
      <c r="N147" s="20">
        <f t="shared" si="19"/>
        <v>62232</v>
      </c>
      <c r="O147" s="20">
        <f t="shared" si="20"/>
        <v>40000</v>
      </c>
    </row>
    <row r="148" spans="1:15" ht="12.75" x14ac:dyDescent="0.2">
      <c r="A148" s="32">
        <v>140</v>
      </c>
      <c r="B148" s="151" t="s">
        <v>237</v>
      </c>
      <c r="C148" s="152">
        <v>807</v>
      </c>
      <c r="D148" s="152">
        <v>1001</v>
      </c>
      <c r="E148" s="152">
        <v>6300080230</v>
      </c>
      <c r="F148" s="152">
        <v>312</v>
      </c>
      <c r="G148" s="35" t="s">
        <v>257</v>
      </c>
      <c r="H148" s="227">
        <v>62.231999999999999</v>
      </c>
      <c r="I148" s="227">
        <v>62.231999999999999</v>
      </c>
      <c r="J148" s="227">
        <v>40</v>
      </c>
      <c r="K148" s="162">
        <f t="shared" si="12"/>
        <v>64.2756138321121</v>
      </c>
      <c r="M148" s="20">
        <f t="shared" si="18"/>
        <v>62232</v>
      </c>
      <c r="N148" s="20">
        <f t="shared" si="19"/>
        <v>62232</v>
      </c>
      <c r="O148" s="20">
        <f t="shared" si="20"/>
        <v>40000</v>
      </c>
    </row>
    <row r="149" spans="1:15" ht="12.75" x14ac:dyDescent="0.2">
      <c r="A149" s="32">
        <v>141</v>
      </c>
      <c r="B149" s="215" t="s">
        <v>379</v>
      </c>
      <c r="C149" s="152">
        <v>807</v>
      </c>
      <c r="D149" s="152">
        <v>1003</v>
      </c>
      <c r="E149" s="152" t="s">
        <v>154</v>
      </c>
      <c r="F149" s="152" t="s">
        <v>154</v>
      </c>
      <c r="G149" s="35"/>
      <c r="H149" s="227">
        <f>H150</f>
        <v>0</v>
      </c>
      <c r="I149" s="227">
        <f>I150</f>
        <v>70</v>
      </c>
      <c r="J149" s="227">
        <f>J150</f>
        <v>70</v>
      </c>
      <c r="K149" s="162">
        <v>0</v>
      </c>
      <c r="M149" s="20">
        <f t="shared" si="18"/>
        <v>0</v>
      </c>
      <c r="N149" s="20">
        <f t="shared" si="19"/>
        <v>70000</v>
      </c>
      <c r="O149" s="20">
        <f t="shared" si="20"/>
        <v>70000</v>
      </c>
    </row>
    <row r="150" spans="1:15" ht="12.75" x14ac:dyDescent="0.2">
      <c r="A150" s="32">
        <v>142</v>
      </c>
      <c r="B150" s="64" t="s">
        <v>142</v>
      </c>
      <c r="C150" s="152">
        <v>807</v>
      </c>
      <c r="D150" s="152">
        <v>1003</v>
      </c>
      <c r="E150" s="152" t="s">
        <v>213</v>
      </c>
      <c r="F150" s="152" t="s">
        <v>154</v>
      </c>
      <c r="G150" s="35"/>
      <c r="H150" s="227">
        <f>SUM(H151)</f>
        <v>0</v>
      </c>
      <c r="I150" s="227">
        <f>SUM(I151)</f>
        <v>70</v>
      </c>
      <c r="J150" s="227">
        <f>SUM(J151)</f>
        <v>70</v>
      </c>
      <c r="K150" s="162">
        <v>0</v>
      </c>
      <c r="M150" s="20">
        <f t="shared" si="18"/>
        <v>0</v>
      </c>
      <c r="N150" s="20">
        <f t="shared" si="19"/>
        <v>70000</v>
      </c>
      <c r="O150" s="20">
        <f t="shared" si="20"/>
        <v>70000</v>
      </c>
    </row>
    <row r="151" spans="1:15" ht="12.75" x14ac:dyDescent="0.2">
      <c r="A151" s="32">
        <v>143</v>
      </c>
      <c r="B151" s="215" t="s">
        <v>382</v>
      </c>
      <c r="C151" s="152">
        <v>807</v>
      </c>
      <c r="D151" s="152">
        <v>1003</v>
      </c>
      <c r="E151" s="152">
        <v>6400091190</v>
      </c>
      <c r="F151" s="152" t="s">
        <v>154</v>
      </c>
      <c r="G151" s="35"/>
      <c r="H151" s="227">
        <f t="shared" ref="H151:J152" si="22">H152</f>
        <v>0</v>
      </c>
      <c r="I151" s="227">
        <f t="shared" si="22"/>
        <v>70</v>
      </c>
      <c r="J151" s="227">
        <f t="shared" si="22"/>
        <v>70</v>
      </c>
      <c r="K151" s="162">
        <v>0</v>
      </c>
      <c r="M151" s="20">
        <f t="shared" si="18"/>
        <v>0</v>
      </c>
      <c r="N151" s="20">
        <f t="shared" si="19"/>
        <v>70000</v>
      </c>
      <c r="O151" s="20">
        <f t="shared" si="20"/>
        <v>70000</v>
      </c>
    </row>
    <row r="152" spans="1:15" ht="12.75" x14ac:dyDescent="0.2">
      <c r="A152" s="32">
        <v>144</v>
      </c>
      <c r="B152" s="215" t="s">
        <v>242</v>
      </c>
      <c r="C152" s="152">
        <v>807</v>
      </c>
      <c r="D152" s="152">
        <v>1003</v>
      </c>
      <c r="E152" s="152">
        <v>6400091190</v>
      </c>
      <c r="F152" s="152">
        <v>300</v>
      </c>
      <c r="G152" s="35" t="s">
        <v>193</v>
      </c>
      <c r="H152" s="227">
        <f t="shared" si="22"/>
        <v>0</v>
      </c>
      <c r="I152" s="227">
        <f t="shared" si="22"/>
        <v>70</v>
      </c>
      <c r="J152" s="227">
        <f t="shared" si="22"/>
        <v>70</v>
      </c>
      <c r="K152" s="162">
        <v>0</v>
      </c>
      <c r="M152" s="20">
        <f t="shared" si="18"/>
        <v>0</v>
      </c>
      <c r="N152" s="20">
        <f t="shared" si="19"/>
        <v>70000</v>
      </c>
      <c r="O152" s="20">
        <f t="shared" si="20"/>
        <v>70000</v>
      </c>
    </row>
    <row r="153" spans="1:15" ht="13.5" thickBot="1" x14ac:dyDescent="0.25">
      <c r="A153" s="220">
        <v>145</v>
      </c>
      <c r="B153" s="221" t="s">
        <v>188</v>
      </c>
      <c r="C153" s="222">
        <v>807</v>
      </c>
      <c r="D153" s="222">
        <v>1003</v>
      </c>
      <c r="E153" s="222">
        <v>6400091190</v>
      </c>
      <c r="F153" s="222">
        <v>321</v>
      </c>
      <c r="G153" s="223" t="s">
        <v>193</v>
      </c>
      <c r="H153" s="228">
        <v>0</v>
      </c>
      <c r="I153" s="228">
        <v>70</v>
      </c>
      <c r="J153" s="228">
        <v>70</v>
      </c>
      <c r="K153" s="224">
        <v>0</v>
      </c>
      <c r="M153" s="20">
        <f t="shared" si="18"/>
        <v>0</v>
      </c>
      <c r="N153" s="20">
        <f t="shared" si="19"/>
        <v>70000</v>
      </c>
      <c r="O153" s="20">
        <f t="shared" si="20"/>
        <v>70000</v>
      </c>
    </row>
    <row r="154" spans="1:15" ht="13.5" thickBot="1" x14ac:dyDescent="0.25">
      <c r="A154" s="295" t="s">
        <v>10</v>
      </c>
      <c r="B154" s="296"/>
      <c r="C154" s="296"/>
      <c r="D154" s="296"/>
      <c r="E154" s="296"/>
      <c r="F154" s="296"/>
      <c r="G154" s="297"/>
      <c r="H154" s="218">
        <f>H131+H9+H142</f>
        <v>12556.638000000001</v>
      </c>
      <c r="I154" s="218">
        <f>I131+I9+I142</f>
        <v>15010.178800000002</v>
      </c>
      <c r="J154" s="218">
        <f>J131+J9+J142</f>
        <v>9589.3261700000003</v>
      </c>
      <c r="K154" s="219">
        <f>J154/I154*100</f>
        <v>63.885489292106236</v>
      </c>
      <c r="M154" s="20">
        <f>H154*1000</f>
        <v>12556638</v>
      </c>
      <c r="N154" s="20">
        <f>I154*1000</f>
        <v>15010178.800000001</v>
      </c>
      <c r="O154" s="20">
        <f>J154*1000</f>
        <v>9589326.1699999999</v>
      </c>
    </row>
    <row r="156" spans="1:15" x14ac:dyDescent="0.25">
      <c r="H156" s="70"/>
      <c r="I156" s="69"/>
      <c r="J156" s="69"/>
    </row>
    <row r="157" spans="1:15" x14ac:dyDescent="0.25">
      <c r="H157" s="75">
        <f>H154*1000</f>
        <v>12556638</v>
      </c>
      <c r="I157" s="75">
        <f>I154*1000</f>
        <v>15010178.800000001</v>
      </c>
      <c r="J157" s="75">
        <f>J154*1000</f>
        <v>9589326.1699999999</v>
      </c>
    </row>
    <row r="158" spans="1:15" x14ac:dyDescent="0.25">
      <c r="H158" s="20">
        <f>H157-Пр.3!K55</f>
        <v>0</v>
      </c>
      <c r="I158" s="16">
        <f>I157-'Пр.6.'!E36</f>
        <v>0</v>
      </c>
      <c r="J158" s="20">
        <f>J157-'Пр.6.'!F36</f>
        <v>0</v>
      </c>
    </row>
    <row r="159" spans="1:15" x14ac:dyDescent="0.25">
      <c r="H159" s="66"/>
      <c r="I159" s="66"/>
      <c r="J159" s="66"/>
    </row>
    <row r="160" spans="1:15" x14ac:dyDescent="0.25">
      <c r="H160" s="66"/>
      <c r="I160" s="20"/>
    </row>
    <row r="161" spans="8:10" x14ac:dyDescent="0.25">
      <c r="H161" s="16"/>
      <c r="I161" s="16"/>
    </row>
    <row r="163" spans="8:10" x14ac:dyDescent="0.25">
      <c r="H163" s="66"/>
      <c r="I163" s="66"/>
      <c r="J163" s="66"/>
    </row>
    <row r="164" spans="8:10" x14ac:dyDescent="0.25">
      <c r="H164" s="66"/>
      <c r="I164" s="66"/>
      <c r="J164" s="66"/>
    </row>
  </sheetData>
  <mergeCells count="6">
    <mergeCell ref="A154:G154"/>
    <mergeCell ref="F1:K1"/>
    <mergeCell ref="B2:K2"/>
    <mergeCell ref="E3:K3"/>
    <mergeCell ref="A5:K5"/>
    <mergeCell ref="A6:N6"/>
  </mergeCells>
  <pageMargins left="0.39370078740157483" right="0.15748031496062992" top="0.35433070866141736" bottom="0.15748031496062992" header="0.27559055118110237" footer="0.15748031496062992"/>
  <pageSetup paperSize="9" scale="83" orientation="landscape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N38"/>
  <sheetViews>
    <sheetView zoomScaleSheetLayoutView="80" workbookViewId="0">
      <selection activeCell="B3" sqref="B3:F3"/>
    </sheetView>
  </sheetViews>
  <sheetFormatPr defaultRowHeight="12.75" x14ac:dyDescent="0.2"/>
  <cols>
    <col min="2" max="2" width="57.42578125" customWidth="1"/>
    <col min="4" max="4" width="15.28515625" customWidth="1"/>
    <col min="5" max="5" width="15.140625" customWidth="1"/>
    <col min="6" max="6" width="13.7109375" customWidth="1"/>
    <col min="7" max="7" width="11.5703125" customWidth="1"/>
    <col min="9" max="9" width="12.7109375" bestFit="1" customWidth="1"/>
    <col min="10" max="10" width="16" customWidth="1"/>
  </cols>
  <sheetData>
    <row r="1" spans="1:14" ht="15.75" x14ac:dyDescent="0.25">
      <c r="B1" s="289" t="s">
        <v>486</v>
      </c>
      <c r="C1" s="289"/>
      <c r="D1" s="289"/>
      <c r="E1" s="290"/>
      <c r="F1" s="290"/>
      <c r="G1" s="290"/>
      <c r="H1" s="8"/>
      <c r="I1" s="289"/>
      <c r="J1" s="289"/>
      <c r="K1" s="289"/>
      <c r="L1" s="290"/>
      <c r="M1" s="290"/>
      <c r="N1" s="290"/>
    </row>
    <row r="2" spans="1:14" ht="15.75" x14ac:dyDescent="0.25">
      <c r="B2" s="271" t="s">
        <v>409</v>
      </c>
      <c r="C2" s="271"/>
      <c r="D2" s="271"/>
      <c r="E2" s="271"/>
      <c r="F2" s="271"/>
      <c r="G2" s="271"/>
      <c r="H2" s="8"/>
      <c r="I2" s="8"/>
      <c r="J2" s="8"/>
      <c r="K2" s="8"/>
      <c r="L2" s="8"/>
      <c r="M2" s="8"/>
      <c r="N2" s="8"/>
    </row>
    <row r="3" spans="1:14" ht="15.75" x14ac:dyDescent="0.25">
      <c r="B3" s="271" t="s">
        <v>503</v>
      </c>
      <c r="C3" s="271"/>
      <c r="D3" s="271"/>
      <c r="E3" s="271"/>
      <c r="F3" s="271"/>
      <c r="G3" s="136"/>
      <c r="H3" s="290"/>
      <c r="I3" s="290"/>
      <c r="J3" s="290"/>
      <c r="K3" s="290"/>
      <c r="L3" s="290"/>
      <c r="M3" s="290"/>
      <c r="N3" s="290"/>
    </row>
    <row r="6" spans="1:14" ht="15.75" customHeight="1" x14ac:dyDescent="0.2">
      <c r="A6" s="302" t="s">
        <v>493</v>
      </c>
      <c r="B6" s="302"/>
      <c r="C6" s="302"/>
      <c r="D6" s="302"/>
      <c r="E6" s="302"/>
      <c r="F6" s="302"/>
      <c r="G6" s="303"/>
    </row>
    <row r="7" spans="1:14" ht="30.75" customHeight="1" x14ac:dyDescent="0.2">
      <c r="A7" s="302"/>
      <c r="B7" s="302"/>
      <c r="C7" s="302"/>
      <c r="D7" s="302"/>
      <c r="E7" s="302"/>
      <c r="F7" s="302"/>
      <c r="G7" s="303"/>
    </row>
    <row r="8" spans="1:14" ht="16.5" thickBot="1" x14ac:dyDescent="0.3">
      <c r="A8" s="14"/>
      <c r="B8" s="173"/>
      <c r="C8" s="8"/>
      <c r="D8" s="174"/>
      <c r="E8" s="174"/>
      <c r="G8" s="175" t="s">
        <v>275</v>
      </c>
    </row>
    <row r="9" spans="1:14" ht="51.75" thickBot="1" x14ac:dyDescent="0.25">
      <c r="A9" s="139" t="s">
        <v>53</v>
      </c>
      <c r="B9" s="140" t="s">
        <v>276</v>
      </c>
      <c r="C9" s="87" t="s">
        <v>277</v>
      </c>
      <c r="D9" s="159" t="s">
        <v>442</v>
      </c>
      <c r="E9" s="88" t="s">
        <v>494</v>
      </c>
      <c r="F9" s="160" t="s">
        <v>495</v>
      </c>
      <c r="G9" s="89" t="s">
        <v>274</v>
      </c>
    </row>
    <row r="10" spans="1:14" ht="13.5" thickBot="1" x14ac:dyDescent="0.25">
      <c r="A10" s="90"/>
      <c r="B10" s="176" t="s">
        <v>100</v>
      </c>
      <c r="C10" s="91" t="s">
        <v>127</v>
      </c>
      <c r="D10" s="92" t="s">
        <v>278</v>
      </c>
      <c r="E10" s="92" t="s">
        <v>279</v>
      </c>
      <c r="F10" s="92" t="s">
        <v>280</v>
      </c>
      <c r="G10" s="119" t="s">
        <v>286</v>
      </c>
    </row>
    <row r="11" spans="1:14" ht="13.5" thickBot="1" x14ac:dyDescent="0.25">
      <c r="A11" s="187">
        <v>1</v>
      </c>
      <c r="B11" s="188" t="s">
        <v>281</v>
      </c>
      <c r="C11" s="189" t="s">
        <v>24</v>
      </c>
      <c r="D11" s="190">
        <f>SUM(D12:D16)</f>
        <v>9548.4339999999993</v>
      </c>
      <c r="E11" s="190">
        <f>SUM(E12:E16)</f>
        <v>10029.345960000001</v>
      </c>
      <c r="F11" s="190">
        <f>SUM(F12:F16)</f>
        <v>6415.2762299999995</v>
      </c>
      <c r="G11" s="191">
        <f>F11/E11*100</f>
        <v>63.965050718023086</v>
      </c>
    </row>
    <row r="12" spans="1:14" ht="25.5" x14ac:dyDescent="0.2">
      <c r="A12" s="202">
        <v>2</v>
      </c>
      <c r="B12" s="203" t="s">
        <v>282</v>
      </c>
      <c r="C12" s="204" t="s">
        <v>25</v>
      </c>
      <c r="D12" s="239">
        <f>(784204.8+236829.85)/1000</f>
        <v>1021.0346500000001</v>
      </c>
      <c r="E12" s="239">
        <f>(784204.8+236829.85+8000+17000+24691.2+7456.74)/1000</f>
        <v>1078.1825900000001</v>
      </c>
      <c r="F12" s="240">
        <f>548.07583+155.9598+4.7302+1.42729</f>
        <v>710.19311999999991</v>
      </c>
      <c r="G12" s="177">
        <f t="shared" ref="G12:G33" si="0">F12/E12*100</f>
        <v>65.869466506596055</v>
      </c>
      <c r="I12" s="95">
        <f>E12*1000</f>
        <v>1078182.5900000001</v>
      </c>
      <c r="J12" s="95">
        <f>F12*1000</f>
        <v>710193.11999999988</v>
      </c>
    </row>
    <row r="13" spans="1:14" ht="42" customHeight="1" x14ac:dyDescent="0.2">
      <c r="A13" s="205">
        <v>3</v>
      </c>
      <c r="B13" s="158" t="s">
        <v>19</v>
      </c>
      <c r="C13" s="195" t="s">
        <v>26</v>
      </c>
      <c r="D13" s="239">
        <f>718.84032+217.08977</f>
        <v>935.93009000000006</v>
      </c>
      <c r="E13" s="239">
        <f>718.84032+217.08977+20.5824+6.21588</f>
        <v>962.72837000000004</v>
      </c>
      <c r="F13" s="157">
        <f>513.33692+146.3115+3.4304+1.03598</f>
        <v>664.11479999999995</v>
      </c>
      <c r="G13" s="178">
        <f t="shared" si="0"/>
        <v>68.982572934876728</v>
      </c>
      <c r="I13" s="95">
        <f t="shared" ref="I13:I33" si="1">E13*1000</f>
        <v>962728.37</v>
      </c>
      <c r="J13" s="95">
        <f t="shared" ref="J13:J33" si="2">F13*1000</f>
        <v>664114.79999999993</v>
      </c>
    </row>
    <row r="14" spans="1:14" ht="38.25" x14ac:dyDescent="0.2">
      <c r="A14" s="205">
        <v>4</v>
      </c>
      <c r="B14" s="158" t="s">
        <v>20</v>
      </c>
      <c r="C14" s="195" t="s">
        <v>27</v>
      </c>
      <c r="D14" s="239">
        <f>(3363759.51+1015855.38+32726+20000+900000+17471.76+5000+7500+16800+8453+2798.14+98546+2942+500+100000+120000)/1000</f>
        <v>5712.3517899999988</v>
      </c>
      <c r="E14" s="239">
        <f>3340.13351+1008.72138+364.7539+1020+0.6+2.842+101.65+37.528+11.332+85.90324+25.9423</f>
        <v>5999.4063299999998</v>
      </c>
      <c r="F14" s="157">
        <f>2073.47741+571.65191+211.70306+675.39337+0.6+2.455+101.65+27.644+8.181+17.7858+4.7659</f>
        <v>3695.3074499999993</v>
      </c>
      <c r="G14" s="178">
        <f t="shared" si="0"/>
        <v>61.594551972944956</v>
      </c>
      <c r="I14" s="95">
        <f t="shared" si="1"/>
        <v>5999406.3300000001</v>
      </c>
      <c r="J14" s="95">
        <f t="shared" si="2"/>
        <v>3695307.4499999993</v>
      </c>
    </row>
    <row r="15" spans="1:14" x14ac:dyDescent="0.2">
      <c r="A15" s="205">
        <v>5</v>
      </c>
      <c r="B15" s="158" t="s">
        <v>217</v>
      </c>
      <c r="C15" s="195" t="s">
        <v>218</v>
      </c>
      <c r="D15" s="239">
        <v>10</v>
      </c>
      <c r="E15" s="239">
        <v>10</v>
      </c>
      <c r="F15" s="93">
        <v>0</v>
      </c>
      <c r="G15" s="178">
        <f t="shared" si="0"/>
        <v>0</v>
      </c>
      <c r="I15" s="95">
        <f t="shared" si="1"/>
        <v>10000</v>
      </c>
      <c r="J15" s="95">
        <f t="shared" si="2"/>
        <v>0</v>
      </c>
    </row>
    <row r="16" spans="1:14" x14ac:dyDescent="0.2">
      <c r="A16" s="205">
        <v>6</v>
      </c>
      <c r="B16" s="158" t="s">
        <v>143</v>
      </c>
      <c r="C16" s="195" t="s">
        <v>57</v>
      </c>
      <c r="D16" s="239">
        <f>(1245347.52+376094.95+58527+6000+53990+94800+12100+7524+14734)/1000</f>
        <v>1869.1174699999999</v>
      </c>
      <c r="E16" s="239">
        <f>15.083+1245.34752+376.09495+305.24496+28.61616+8.64208</f>
        <v>1979.0286700000001</v>
      </c>
      <c r="F16" s="157">
        <f>1.75251+848.51159+238.22891+244.17956+10.15041+2.83788</f>
        <v>1345.66086</v>
      </c>
      <c r="G16" s="178">
        <f t="shared" si="0"/>
        <v>67.996026555795169</v>
      </c>
      <c r="I16" s="95">
        <f t="shared" si="1"/>
        <v>1979028.6700000002</v>
      </c>
      <c r="J16" s="95">
        <f t="shared" si="2"/>
        <v>1345660.8599999999</v>
      </c>
    </row>
    <row r="17" spans="1:10" x14ac:dyDescent="0.2">
      <c r="A17" s="205">
        <v>7</v>
      </c>
      <c r="B17" s="196" t="s">
        <v>145</v>
      </c>
      <c r="C17" s="197" t="s">
        <v>146</v>
      </c>
      <c r="D17" s="86">
        <f>D18</f>
        <v>443.13299999999998</v>
      </c>
      <c r="E17" s="86">
        <f>E18</f>
        <v>522.63699999999994</v>
      </c>
      <c r="F17" s="86">
        <f>F18</f>
        <v>278.65364</v>
      </c>
      <c r="G17" s="178">
        <f t="shared" si="0"/>
        <v>53.31686045955415</v>
      </c>
      <c r="I17" s="95">
        <f t="shared" si="1"/>
        <v>522636.99999999994</v>
      </c>
      <c r="J17" s="95">
        <f t="shared" si="2"/>
        <v>278653.64</v>
      </c>
    </row>
    <row r="18" spans="1:10" x14ac:dyDescent="0.2">
      <c r="A18" s="205">
        <v>8</v>
      </c>
      <c r="B18" s="158" t="s">
        <v>147</v>
      </c>
      <c r="C18" s="195" t="s">
        <v>29</v>
      </c>
      <c r="D18" s="239">
        <v>443.13299999999998</v>
      </c>
      <c r="E18" s="239">
        <f>443.133+79.504</f>
        <v>522.63699999999994</v>
      </c>
      <c r="F18" s="157">
        <f>216.90886+56.9227+4.82208</f>
        <v>278.65364</v>
      </c>
      <c r="G18" s="178">
        <f t="shared" si="0"/>
        <v>53.31686045955415</v>
      </c>
      <c r="I18" s="95">
        <f t="shared" si="1"/>
        <v>522636.99999999994</v>
      </c>
      <c r="J18" s="95">
        <f t="shared" si="2"/>
        <v>278653.64</v>
      </c>
    </row>
    <row r="19" spans="1:10" ht="25.5" x14ac:dyDescent="0.2">
      <c r="A19" s="205">
        <v>9</v>
      </c>
      <c r="B19" s="84" t="s">
        <v>185</v>
      </c>
      <c r="C19" s="198" t="s">
        <v>194</v>
      </c>
      <c r="D19" s="94">
        <f>D21+D20</f>
        <v>494.053</v>
      </c>
      <c r="E19" s="94">
        <f>E21+E20</f>
        <v>512.053</v>
      </c>
      <c r="F19" s="94">
        <f>F21+F20</f>
        <v>474.18290000000002</v>
      </c>
      <c r="G19" s="178">
        <f t="shared" si="0"/>
        <v>92.604261668225746</v>
      </c>
      <c r="I19" s="95">
        <f t="shared" si="1"/>
        <v>512053</v>
      </c>
      <c r="J19" s="95">
        <f t="shared" si="2"/>
        <v>474182.9</v>
      </c>
    </row>
    <row r="20" spans="1:10" x14ac:dyDescent="0.2">
      <c r="A20" s="205">
        <v>10</v>
      </c>
      <c r="B20" s="85" t="s">
        <v>283</v>
      </c>
      <c r="C20" s="199" t="s">
        <v>186</v>
      </c>
      <c r="D20" s="239">
        <f>23.553+447.5</f>
        <v>471.053</v>
      </c>
      <c r="E20" s="239">
        <f>23.553+447.5</f>
        <v>471.053</v>
      </c>
      <c r="F20" s="241">
        <v>434.74290000000002</v>
      </c>
      <c r="G20" s="178">
        <f t="shared" si="0"/>
        <v>92.291716643350114</v>
      </c>
      <c r="I20" s="95">
        <f t="shared" si="1"/>
        <v>471053</v>
      </c>
      <c r="J20" s="95">
        <f t="shared" si="2"/>
        <v>434742.9</v>
      </c>
    </row>
    <row r="21" spans="1:10" ht="25.5" x14ac:dyDescent="0.2">
      <c r="A21" s="205">
        <v>11</v>
      </c>
      <c r="B21" s="134" t="s">
        <v>230</v>
      </c>
      <c r="C21" s="200" t="s">
        <v>231</v>
      </c>
      <c r="D21" s="93">
        <v>23</v>
      </c>
      <c r="E21" s="93">
        <f>40+1</f>
        <v>41</v>
      </c>
      <c r="F21" s="157">
        <v>39.44</v>
      </c>
      <c r="G21" s="178">
        <f t="shared" si="0"/>
        <v>96.195121951219505</v>
      </c>
      <c r="I21" s="95">
        <f t="shared" si="1"/>
        <v>41000</v>
      </c>
      <c r="J21" s="95">
        <f t="shared" si="2"/>
        <v>39440</v>
      </c>
    </row>
    <row r="22" spans="1:10" x14ac:dyDescent="0.2">
      <c r="A22" s="205">
        <v>12</v>
      </c>
      <c r="B22" s="196" t="s">
        <v>148</v>
      </c>
      <c r="C22" s="197" t="s">
        <v>149</v>
      </c>
      <c r="D22" s="242">
        <f>D23+D24</f>
        <v>1070.0840000000001</v>
      </c>
      <c r="E22" s="242">
        <f>E23+E24</f>
        <v>1257.2331199999999</v>
      </c>
      <c r="F22" s="242">
        <f>F23+F24</f>
        <v>468.95374000000004</v>
      </c>
      <c r="G22" s="178">
        <f t="shared" si="0"/>
        <v>37.300460236045971</v>
      </c>
      <c r="I22" s="95">
        <f t="shared" si="1"/>
        <v>1257233.1199999999</v>
      </c>
      <c r="J22" s="95">
        <f t="shared" si="2"/>
        <v>468953.74000000005</v>
      </c>
    </row>
    <row r="23" spans="1:10" x14ac:dyDescent="0.2">
      <c r="A23" s="205">
        <v>13</v>
      </c>
      <c r="B23" s="158" t="s">
        <v>150</v>
      </c>
      <c r="C23" s="195" t="s">
        <v>58</v>
      </c>
      <c r="D23" s="25">
        <f>343.984+726.1</f>
        <v>1070.0840000000001</v>
      </c>
      <c r="E23" s="25">
        <f>913.24912+343.984</f>
        <v>1257.2331199999999</v>
      </c>
      <c r="F23" s="25">
        <f>176.85374+292.1</f>
        <v>468.95374000000004</v>
      </c>
      <c r="G23" s="178">
        <f t="shared" si="0"/>
        <v>37.300460236045971</v>
      </c>
      <c r="I23" s="95">
        <f t="shared" si="1"/>
        <v>1257233.1199999999</v>
      </c>
      <c r="J23" s="95">
        <f t="shared" si="2"/>
        <v>468953.74000000005</v>
      </c>
    </row>
    <row r="24" spans="1:10" x14ac:dyDescent="0.2">
      <c r="A24" s="205">
        <v>14</v>
      </c>
      <c r="B24" s="158" t="s">
        <v>260</v>
      </c>
      <c r="C24" s="201" t="s">
        <v>258</v>
      </c>
      <c r="D24" s="25">
        <v>0</v>
      </c>
      <c r="E24" s="25">
        <v>0</v>
      </c>
      <c r="F24" s="25">
        <v>0</v>
      </c>
      <c r="G24" s="178">
        <v>0</v>
      </c>
      <c r="I24" s="95">
        <f t="shared" si="1"/>
        <v>0</v>
      </c>
      <c r="J24" s="95">
        <f t="shared" si="2"/>
        <v>0</v>
      </c>
    </row>
    <row r="25" spans="1:10" x14ac:dyDescent="0.2">
      <c r="A25" s="205">
        <v>15</v>
      </c>
      <c r="B25" s="196" t="s">
        <v>151</v>
      </c>
      <c r="C25" s="197" t="s">
        <v>30</v>
      </c>
      <c r="D25" s="242">
        <f>D26+D27</f>
        <v>937.702</v>
      </c>
      <c r="E25" s="242">
        <f>E26+E27</f>
        <v>2555.6777200000001</v>
      </c>
      <c r="F25" s="242">
        <f>F26+F27</f>
        <v>1841.2596600000002</v>
      </c>
      <c r="G25" s="178">
        <f t="shared" si="0"/>
        <v>72.045847001397348</v>
      </c>
      <c r="I25" s="95">
        <f t="shared" si="1"/>
        <v>2555677.7200000002</v>
      </c>
      <c r="J25" s="95">
        <f t="shared" si="2"/>
        <v>1841259.6600000001</v>
      </c>
    </row>
    <row r="26" spans="1:10" x14ac:dyDescent="0.2">
      <c r="A26" s="205">
        <v>16</v>
      </c>
      <c r="B26" s="158" t="s">
        <v>152</v>
      </c>
      <c r="C26" s="195" t="s">
        <v>31</v>
      </c>
      <c r="D26" s="25">
        <v>937.702</v>
      </c>
      <c r="E26" s="25">
        <f>780+1235.747+225.583+157.702</f>
        <v>2399.0320000000002</v>
      </c>
      <c r="F26" s="157">
        <f>391.15787+1093.81507+125.241+74.4</f>
        <v>1684.6139400000002</v>
      </c>
      <c r="G26" s="178">
        <f t="shared" si="0"/>
        <v>70.220569796484583</v>
      </c>
      <c r="I26" s="95">
        <f t="shared" si="1"/>
        <v>2399032</v>
      </c>
      <c r="J26" s="95">
        <f t="shared" si="2"/>
        <v>1684613.9400000002</v>
      </c>
    </row>
    <row r="27" spans="1:10" x14ac:dyDescent="0.2">
      <c r="A27" s="205">
        <v>17</v>
      </c>
      <c r="B27" s="158" t="s">
        <v>439</v>
      </c>
      <c r="C27" s="195" t="s">
        <v>107</v>
      </c>
      <c r="D27" s="25">
        <v>0</v>
      </c>
      <c r="E27" s="25">
        <v>156.64572000000001</v>
      </c>
      <c r="F27" s="157">
        <v>156.64572000000001</v>
      </c>
      <c r="G27" s="178">
        <f t="shared" si="0"/>
        <v>100</v>
      </c>
      <c r="I27" s="95"/>
      <c r="J27" s="95"/>
    </row>
    <row r="28" spans="1:10" x14ac:dyDescent="0.2">
      <c r="A28" s="205">
        <v>18</v>
      </c>
      <c r="B28" s="196" t="s">
        <v>153</v>
      </c>
      <c r="C28" s="197" t="s">
        <v>225</v>
      </c>
      <c r="D28" s="242">
        <f>D29</f>
        <v>1</v>
      </c>
      <c r="E28" s="242">
        <f>E29</f>
        <v>1</v>
      </c>
      <c r="F28" s="242">
        <f>F29</f>
        <v>1</v>
      </c>
      <c r="G28" s="178">
        <f t="shared" si="0"/>
        <v>100</v>
      </c>
      <c r="I28" s="95">
        <f t="shared" si="1"/>
        <v>1000</v>
      </c>
      <c r="J28" s="95">
        <f t="shared" si="2"/>
        <v>1000</v>
      </c>
    </row>
    <row r="29" spans="1:10" x14ac:dyDescent="0.2">
      <c r="A29" s="205">
        <v>19</v>
      </c>
      <c r="B29" s="158" t="s">
        <v>211</v>
      </c>
      <c r="C29" s="195" t="s">
        <v>28</v>
      </c>
      <c r="D29" s="157">
        <v>1</v>
      </c>
      <c r="E29" s="157">
        <v>1</v>
      </c>
      <c r="F29" s="157">
        <v>1</v>
      </c>
      <c r="G29" s="178">
        <f t="shared" si="0"/>
        <v>100</v>
      </c>
      <c r="I29" s="95">
        <f t="shared" si="1"/>
        <v>1000</v>
      </c>
      <c r="J29" s="95">
        <f t="shared" si="2"/>
        <v>1000</v>
      </c>
    </row>
    <row r="30" spans="1:10" x14ac:dyDescent="0.2">
      <c r="A30" s="205">
        <v>20</v>
      </c>
      <c r="B30" s="148" t="s">
        <v>284</v>
      </c>
      <c r="C30" s="197">
        <v>1000</v>
      </c>
      <c r="D30" s="242">
        <f>D31+D32</f>
        <v>62.231999999999999</v>
      </c>
      <c r="E30" s="242">
        <f>E31+E32</f>
        <v>132.232</v>
      </c>
      <c r="F30" s="242">
        <f>F31+F32</f>
        <v>110</v>
      </c>
      <c r="G30" s="178">
        <f t="shared" si="0"/>
        <v>83.18712565793453</v>
      </c>
      <c r="I30" s="95">
        <f t="shared" si="1"/>
        <v>132232</v>
      </c>
      <c r="J30" s="95">
        <f t="shared" si="2"/>
        <v>110000</v>
      </c>
    </row>
    <row r="31" spans="1:10" x14ac:dyDescent="0.2">
      <c r="A31" s="205">
        <v>21</v>
      </c>
      <c r="B31" s="151" t="s">
        <v>239</v>
      </c>
      <c r="C31" s="195">
        <v>1001</v>
      </c>
      <c r="D31" s="157">
        <v>62.231999999999999</v>
      </c>
      <c r="E31" s="157">
        <v>62.231999999999999</v>
      </c>
      <c r="F31" s="157">
        <v>40</v>
      </c>
      <c r="G31" s="178">
        <f t="shared" si="0"/>
        <v>64.2756138321121</v>
      </c>
      <c r="I31" s="95">
        <f t="shared" si="1"/>
        <v>62232</v>
      </c>
      <c r="J31" s="95">
        <f t="shared" si="2"/>
        <v>40000</v>
      </c>
    </row>
    <row r="32" spans="1:10" ht="13.5" thickBot="1" x14ac:dyDescent="0.25">
      <c r="A32" s="206">
        <v>22</v>
      </c>
      <c r="B32" s="172" t="s">
        <v>379</v>
      </c>
      <c r="C32" s="207">
        <v>1003</v>
      </c>
      <c r="D32" s="243">
        <v>0</v>
      </c>
      <c r="E32" s="243">
        <v>70</v>
      </c>
      <c r="F32" s="243">
        <v>70</v>
      </c>
      <c r="G32" s="208">
        <v>0</v>
      </c>
      <c r="I32" s="95">
        <f t="shared" si="1"/>
        <v>70000</v>
      </c>
      <c r="J32" s="95">
        <f t="shared" si="2"/>
        <v>70000</v>
      </c>
    </row>
    <row r="33" spans="1:10" ht="13.5" thickBot="1" x14ac:dyDescent="0.25">
      <c r="A33" s="300" t="s">
        <v>285</v>
      </c>
      <c r="B33" s="301"/>
      <c r="C33" s="192" t="s">
        <v>154</v>
      </c>
      <c r="D33" s="193">
        <f>D11+D17+D22+D25+D30+D19+D28</f>
        <v>12556.637999999999</v>
      </c>
      <c r="E33" s="193">
        <f>E11+E17+E22+E25+E30+E19+E28</f>
        <v>15010.178800000002</v>
      </c>
      <c r="F33" s="193">
        <f>F11+F17+F22+F25+F30+F19+F28</f>
        <v>9589.3261700000003</v>
      </c>
      <c r="G33" s="194">
        <f t="shared" si="0"/>
        <v>63.885489292106236</v>
      </c>
      <c r="I33" s="95">
        <f t="shared" si="1"/>
        <v>15010178.800000001</v>
      </c>
      <c r="J33" s="95">
        <f t="shared" si="2"/>
        <v>9589326.1699999999</v>
      </c>
    </row>
    <row r="36" spans="1:10" x14ac:dyDescent="0.2">
      <c r="D36" s="95">
        <f>D33*1000</f>
        <v>12556637.999999998</v>
      </c>
      <c r="E36" s="95">
        <f>E33*1000</f>
        <v>15010178.800000001</v>
      </c>
      <c r="F36" s="95">
        <f>F33*1000</f>
        <v>9589326.1699999999</v>
      </c>
    </row>
    <row r="38" spans="1:10" x14ac:dyDescent="0.2">
      <c r="D38" s="95">
        <f>12617301-D36</f>
        <v>60663.000000001863</v>
      </c>
      <c r="E38" s="95">
        <f>E36-16154158.95</f>
        <v>-1143980.1499999985</v>
      </c>
      <c r="F38" s="95">
        <f>F36-14523054.49</f>
        <v>-4933728.32</v>
      </c>
    </row>
  </sheetData>
  <mergeCells count="7">
    <mergeCell ref="I1:N1"/>
    <mergeCell ref="H3:N3"/>
    <mergeCell ref="A33:B33"/>
    <mergeCell ref="B1:G1"/>
    <mergeCell ref="B3:F3"/>
    <mergeCell ref="B2:G2"/>
    <mergeCell ref="A6:G7"/>
  </mergeCells>
  <pageMargins left="0.39370078740157483" right="0.19685039370078741" top="0.74803149606299213" bottom="0.74803149606299213" header="0.31496062992125984" footer="0.31496062992125984"/>
  <pageSetup paperSize="9" scale="68" orientation="portrait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J11"/>
  <sheetViews>
    <sheetView workbookViewId="0">
      <selection activeCell="C17" sqref="C17"/>
    </sheetView>
  </sheetViews>
  <sheetFormatPr defaultRowHeight="12.75" x14ac:dyDescent="0.2"/>
  <cols>
    <col min="1" max="1" width="28.28515625" customWidth="1"/>
    <col min="2" max="2" width="42.28515625" customWidth="1"/>
    <col min="3" max="3" width="49.140625" customWidth="1"/>
  </cols>
  <sheetData>
    <row r="1" spans="1:10" ht="15.75" x14ac:dyDescent="0.25">
      <c r="B1" s="289" t="s">
        <v>487</v>
      </c>
      <c r="C1" s="289"/>
      <c r="D1" s="8"/>
      <c r="E1" s="289"/>
      <c r="F1" s="289"/>
      <c r="G1" s="289"/>
      <c r="H1" s="290"/>
      <c r="I1" s="290"/>
      <c r="J1" s="290"/>
    </row>
    <row r="2" spans="1:10" ht="15.75" x14ac:dyDescent="0.25">
      <c r="B2" s="271" t="s">
        <v>410</v>
      </c>
      <c r="C2" s="271"/>
      <c r="D2" s="8"/>
      <c r="E2" s="8"/>
      <c r="F2" s="8"/>
      <c r="G2" s="8"/>
      <c r="H2" s="8"/>
      <c r="I2" s="8"/>
      <c r="J2" s="8"/>
    </row>
    <row r="3" spans="1:10" ht="15.75" x14ac:dyDescent="0.25">
      <c r="B3" s="271" t="s">
        <v>504</v>
      </c>
      <c r="C3" s="271"/>
      <c r="D3" s="290"/>
      <c r="E3" s="290"/>
      <c r="F3" s="290"/>
      <c r="G3" s="290"/>
      <c r="H3" s="290"/>
      <c r="I3" s="290"/>
      <c r="J3" s="290"/>
    </row>
    <row r="6" spans="1:10" ht="15.75" customHeight="1" x14ac:dyDescent="0.2">
      <c r="A6" s="302" t="s">
        <v>490</v>
      </c>
      <c r="B6" s="302"/>
      <c r="C6" s="302"/>
    </row>
    <row r="7" spans="1:10" ht="32.25" customHeight="1" x14ac:dyDescent="0.2">
      <c r="A7" s="302"/>
      <c r="B7" s="302"/>
      <c r="C7" s="302"/>
    </row>
    <row r="8" spans="1:10" ht="16.5" thickBot="1" x14ac:dyDescent="0.25">
      <c r="A8" s="14"/>
      <c r="B8" s="173"/>
      <c r="C8" s="175" t="s">
        <v>275</v>
      </c>
    </row>
    <row r="9" spans="1:10" ht="48" thickBot="1" x14ac:dyDescent="0.25">
      <c r="A9" s="127" t="s">
        <v>441</v>
      </c>
      <c r="B9" s="128" t="s">
        <v>488</v>
      </c>
      <c r="C9" s="129" t="s">
        <v>489</v>
      </c>
    </row>
    <row r="10" spans="1:10" x14ac:dyDescent="0.2">
      <c r="A10" s="125" t="s">
        <v>100</v>
      </c>
      <c r="B10" s="179">
        <v>2</v>
      </c>
      <c r="C10" s="126" t="s">
        <v>278</v>
      </c>
    </row>
    <row r="11" spans="1:10" ht="16.5" thickBot="1" x14ac:dyDescent="0.25">
      <c r="A11" s="130">
        <v>10</v>
      </c>
      <c r="B11" s="131">
        <v>0</v>
      </c>
      <c r="C11" s="132">
        <v>10</v>
      </c>
    </row>
  </sheetData>
  <mergeCells count="6">
    <mergeCell ref="A6:C7"/>
    <mergeCell ref="B1:C1"/>
    <mergeCell ref="E1:J1"/>
    <mergeCell ref="B2:C2"/>
    <mergeCell ref="B3:C3"/>
    <mergeCell ref="D3:J3"/>
  </mergeCells>
  <pageMargins left="0.39370078740157483" right="0.19685039370078741" top="0.74803149606299213" bottom="0.74803149606299213" header="0.31496062992125984" footer="0.31496062992125984"/>
  <pageSetup paperSize="9" scale="73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6</vt:i4>
      </vt:variant>
    </vt:vector>
  </HeadingPairs>
  <TitlesOfParts>
    <vt:vector size="13" baseType="lpstr">
      <vt:lpstr>Прилож 1</vt:lpstr>
      <vt:lpstr>Пр.2</vt:lpstr>
      <vt:lpstr>Пр.3</vt:lpstr>
      <vt:lpstr>Пр.4</vt:lpstr>
      <vt:lpstr>Пр.5</vt:lpstr>
      <vt:lpstr>Пр.6.</vt:lpstr>
      <vt:lpstr>Пр.7</vt:lpstr>
      <vt:lpstr>Пр.2!Область_печати</vt:lpstr>
      <vt:lpstr>Пр.3!Область_печати</vt:lpstr>
      <vt:lpstr>Пр.4!Область_печати</vt:lpstr>
      <vt:lpstr>Пр.5!Область_печати</vt:lpstr>
      <vt:lpstr>Пр.6.!Область_печати</vt:lpstr>
      <vt:lpstr>Пр.7!Область_печати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2023-08-23T07:17:13Z</cp:lastPrinted>
  <dcterms:created xsi:type="dcterms:W3CDTF">1996-10-08T23:32:33Z</dcterms:created>
  <dcterms:modified xsi:type="dcterms:W3CDTF">2023-12-22T03:50:18Z</dcterms:modified>
</cp:coreProperties>
</file>