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4 сессия\"/>
    </mc:Choice>
  </mc:AlternateContent>
  <xr:revisionPtr revIDLastSave="0" documentId="13_ncr:1_{CF9B6009-7241-4A1F-82AE-AD7E7B8AE916}" xr6:coauthVersionLast="47" xr6:coauthVersionMax="47" xr10:uidLastSave="{00000000-0000-0000-0000-000000000000}"/>
  <bookViews>
    <workbookView xWindow="390" yWindow="390" windowWidth="18465" windowHeight="14370" xr2:uid="{00000000-000D-0000-FFFF-FFFF00000000}"/>
  </bookViews>
  <sheets>
    <sheet name="Прилож 1" sheetId="7" r:id="rId1"/>
    <sheet name="Пр.2" sheetId="9" r:id="rId2"/>
    <sheet name="Пр.3" sheetId="3" r:id="rId3"/>
    <sheet name="Пр.4" sheetId="4" r:id="rId4"/>
    <sheet name="Пр.5" sheetId="6" r:id="rId5"/>
    <sheet name="Пр.6." sheetId="8" r:id="rId6"/>
    <sheet name="Пр.7" sheetId="10" r:id="rId7"/>
  </sheets>
  <definedNames>
    <definedName name="_xlnm.Print_Area" localSheetId="1">Пр.2!$A$1:$M$35</definedName>
    <definedName name="_xlnm.Print_Area" localSheetId="2">Пр.3!$A$1:$N$55</definedName>
    <definedName name="_xlnm.Print_Area" localSheetId="3">Пр.4!$A$1:$J$180</definedName>
    <definedName name="_xlnm.Print_Area" localSheetId="4">Пр.5!$A$1:$K$159</definedName>
    <definedName name="_xlnm.Print_Area" localSheetId="5">'Пр.6.'!$A$1:$G$33</definedName>
    <definedName name="_xlnm.Print_Area" localSheetId="6">Пр.7!$A$1:$C$11</definedName>
  </definedNames>
  <calcPr calcId="181029" calcOnSave="0"/>
</workbook>
</file>

<file path=xl/calcChain.xml><?xml version="1.0" encoding="utf-8"?>
<calcChain xmlns="http://schemas.openxmlformats.org/spreadsheetml/2006/main">
  <c r="J97" i="6" l="1"/>
  <c r="J37" i="6"/>
  <c r="I60" i="6"/>
  <c r="I59" i="6" s="1"/>
  <c r="I58" i="6" s="1"/>
  <c r="J50" i="6"/>
  <c r="J68" i="6"/>
  <c r="J60" i="6" s="1"/>
  <c r="J59" i="6" s="1"/>
  <c r="J58" i="6" s="1"/>
  <c r="I118" i="6"/>
  <c r="I117" i="6" s="1"/>
  <c r="J127" i="6"/>
  <c r="I127" i="6"/>
  <c r="K128" i="6"/>
  <c r="K129" i="6"/>
  <c r="I28" i="6" l="1"/>
  <c r="I27" i="6" s="1"/>
  <c r="J15" i="6"/>
  <c r="G90" i="4" l="1"/>
  <c r="G102" i="4"/>
  <c r="H46" i="4"/>
  <c r="H50" i="4" l="1"/>
  <c r="H56" i="4"/>
  <c r="H60" i="4"/>
  <c r="H66" i="4"/>
  <c r="G66" i="4"/>
  <c r="H82" i="4"/>
  <c r="G82" i="4"/>
  <c r="H90" i="4"/>
  <c r="H70" i="4"/>
  <c r="G70" i="4"/>
  <c r="H78" i="4"/>
  <c r="H74" i="4"/>
  <c r="H102" i="4"/>
  <c r="H106" i="4"/>
  <c r="G110" i="4"/>
  <c r="H124" i="4"/>
  <c r="G124" i="4"/>
  <c r="G128" i="4"/>
  <c r="H36" i="4"/>
  <c r="F16" i="8"/>
  <c r="E16" i="8"/>
  <c r="F26" i="8"/>
  <c r="E26" i="8"/>
  <c r="F23" i="8"/>
  <c r="E23" i="8"/>
  <c r="F21" i="8"/>
  <c r="F20" i="8"/>
  <c r="F18" i="8"/>
  <c r="E18" i="8"/>
  <c r="D18" i="8"/>
  <c r="F14" i="8"/>
  <c r="E14" i="8"/>
  <c r="F13" i="8"/>
  <c r="F12" i="8"/>
  <c r="O14" i="6" l="1"/>
  <c r="O15" i="6"/>
  <c r="M16" i="6"/>
  <c r="N16" i="6"/>
  <c r="O16" i="6"/>
  <c r="M17" i="6"/>
  <c r="N17" i="6"/>
  <c r="O17" i="6"/>
  <c r="M18" i="6"/>
  <c r="N18" i="6"/>
  <c r="O18" i="6"/>
  <c r="M19" i="6"/>
  <c r="N19" i="6"/>
  <c r="O19" i="6"/>
  <c r="M23" i="6"/>
  <c r="N23" i="6"/>
  <c r="O23" i="6"/>
  <c r="M24" i="6"/>
  <c r="N24" i="6"/>
  <c r="O24" i="6"/>
  <c r="M25" i="6"/>
  <c r="N25" i="6"/>
  <c r="O25" i="6"/>
  <c r="M26" i="6"/>
  <c r="N26" i="6"/>
  <c r="O26" i="6"/>
  <c r="M29" i="6"/>
  <c r="N29" i="6"/>
  <c r="O29" i="6"/>
  <c r="M30" i="6"/>
  <c r="N30" i="6"/>
  <c r="O30" i="6"/>
  <c r="M31" i="6"/>
  <c r="N31" i="6"/>
  <c r="O31" i="6"/>
  <c r="M32" i="6"/>
  <c r="N32" i="6"/>
  <c r="O32" i="6"/>
  <c r="M33" i="6"/>
  <c r="N33" i="6"/>
  <c r="O33" i="6"/>
  <c r="M34" i="6"/>
  <c r="N34" i="6"/>
  <c r="O34" i="6"/>
  <c r="M35" i="6"/>
  <c r="N35" i="6"/>
  <c r="O35" i="6"/>
  <c r="M36" i="6"/>
  <c r="N36" i="6"/>
  <c r="O36" i="6"/>
  <c r="M37" i="6"/>
  <c r="N37" i="6"/>
  <c r="O37" i="6"/>
  <c r="P32" i="6" s="1"/>
  <c r="M38" i="6"/>
  <c r="N38" i="6"/>
  <c r="O38" i="6"/>
  <c r="M39" i="6"/>
  <c r="N39" i="6"/>
  <c r="O39" i="6"/>
  <c r="M40" i="6"/>
  <c r="N40" i="6"/>
  <c r="O40" i="6"/>
  <c r="M41" i="6"/>
  <c r="N41" i="6"/>
  <c r="O41" i="6"/>
  <c r="M42" i="6"/>
  <c r="N42" i="6"/>
  <c r="O42" i="6"/>
  <c r="M43" i="6"/>
  <c r="N43" i="6"/>
  <c r="O43" i="6"/>
  <c r="M44" i="6"/>
  <c r="N44" i="6"/>
  <c r="O44" i="6"/>
  <c r="M45" i="6"/>
  <c r="N45" i="6"/>
  <c r="O45" i="6"/>
  <c r="M46" i="6"/>
  <c r="N46" i="6"/>
  <c r="O46" i="6"/>
  <c r="M47" i="6"/>
  <c r="N47" i="6"/>
  <c r="O47" i="6"/>
  <c r="M48" i="6"/>
  <c r="N48" i="6"/>
  <c r="O48" i="6"/>
  <c r="M49" i="6"/>
  <c r="N49" i="6"/>
  <c r="O49" i="6"/>
  <c r="M50" i="6"/>
  <c r="N50" i="6"/>
  <c r="O50" i="6"/>
  <c r="M51" i="6"/>
  <c r="N51" i="6"/>
  <c r="O51" i="6"/>
  <c r="M57" i="6"/>
  <c r="N57" i="6"/>
  <c r="O57" i="6"/>
  <c r="M61" i="6"/>
  <c r="N61" i="6"/>
  <c r="O61" i="6"/>
  <c r="M62" i="6"/>
  <c r="N62" i="6"/>
  <c r="O62" i="6"/>
  <c r="M63" i="6"/>
  <c r="N63" i="6"/>
  <c r="O63" i="6"/>
  <c r="M64" i="6"/>
  <c r="N64" i="6"/>
  <c r="O64" i="6"/>
  <c r="M65" i="6"/>
  <c r="N65" i="6"/>
  <c r="O65" i="6"/>
  <c r="M66" i="6"/>
  <c r="N66" i="6"/>
  <c r="O66" i="6"/>
  <c r="M67" i="6"/>
  <c r="N67" i="6"/>
  <c r="O67" i="6"/>
  <c r="M68" i="6"/>
  <c r="N68" i="6"/>
  <c r="O68" i="6"/>
  <c r="M69" i="6"/>
  <c r="N69" i="6"/>
  <c r="O69" i="6"/>
  <c r="M70" i="6"/>
  <c r="N70" i="6"/>
  <c r="O70" i="6"/>
  <c r="N71" i="6"/>
  <c r="O71" i="6"/>
  <c r="M72" i="6"/>
  <c r="N72" i="6"/>
  <c r="O72" i="6"/>
  <c r="M73" i="6"/>
  <c r="N73" i="6"/>
  <c r="O73" i="6"/>
  <c r="M76" i="6"/>
  <c r="N76" i="6"/>
  <c r="O76" i="6"/>
  <c r="M81" i="6"/>
  <c r="N81" i="6"/>
  <c r="O81" i="6"/>
  <c r="M82" i="6"/>
  <c r="N82" i="6"/>
  <c r="O82" i="6"/>
  <c r="M83" i="6"/>
  <c r="N83" i="6"/>
  <c r="O83" i="6"/>
  <c r="M84" i="6"/>
  <c r="N84" i="6"/>
  <c r="O84" i="6"/>
  <c r="M85" i="6"/>
  <c r="N85" i="6"/>
  <c r="O85" i="6"/>
  <c r="M86" i="6"/>
  <c r="N86" i="6"/>
  <c r="O86" i="6"/>
  <c r="M87" i="6"/>
  <c r="N87" i="6"/>
  <c r="O87" i="6"/>
  <c r="M91" i="6"/>
  <c r="N91" i="6"/>
  <c r="O91" i="6"/>
  <c r="M92" i="6"/>
  <c r="N92" i="6"/>
  <c r="O92" i="6"/>
  <c r="M93" i="6"/>
  <c r="N93" i="6"/>
  <c r="O93" i="6"/>
  <c r="M94" i="6"/>
  <c r="N94" i="6"/>
  <c r="O94" i="6"/>
  <c r="M95" i="6"/>
  <c r="N95" i="6"/>
  <c r="O95" i="6"/>
  <c r="M98" i="6"/>
  <c r="N98" i="6"/>
  <c r="O98" i="6"/>
  <c r="M101" i="6"/>
  <c r="N101" i="6"/>
  <c r="O101" i="6"/>
  <c r="M106" i="6"/>
  <c r="N106" i="6"/>
  <c r="O106" i="6"/>
  <c r="M107" i="6"/>
  <c r="N107" i="6"/>
  <c r="O107" i="6"/>
  <c r="M108" i="6"/>
  <c r="N108" i="6"/>
  <c r="O108" i="6"/>
  <c r="M109" i="6"/>
  <c r="N109" i="6"/>
  <c r="O109" i="6"/>
  <c r="M110" i="6"/>
  <c r="N110" i="6"/>
  <c r="O110" i="6"/>
  <c r="M111" i="6"/>
  <c r="N111" i="6"/>
  <c r="O111" i="6"/>
  <c r="M114" i="6"/>
  <c r="N114" i="6"/>
  <c r="O114" i="6"/>
  <c r="M119" i="6"/>
  <c r="N119" i="6"/>
  <c r="O119" i="6"/>
  <c r="M120" i="6"/>
  <c r="N120" i="6"/>
  <c r="O120" i="6"/>
  <c r="M121" i="6"/>
  <c r="N121" i="6"/>
  <c r="O121" i="6"/>
  <c r="M122" i="6"/>
  <c r="N122" i="6"/>
  <c r="O122" i="6"/>
  <c r="M123" i="6"/>
  <c r="N123" i="6"/>
  <c r="O123" i="6"/>
  <c r="M125" i="6"/>
  <c r="N125" i="6"/>
  <c r="O125" i="6"/>
  <c r="M126" i="6"/>
  <c r="N126" i="6"/>
  <c r="O126" i="6"/>
  <c r="M130" i="6"/>
  <c r="N130" i="6"/>
  <c r="O130" i="6"/>
  <c r="M132" i="6"/>
  <c r="N132" i="6"/>
  <c r="O132" i="6"/>
  <c r="M135" i="6"/>
  <c r="N135" i="6"/>
  <c r="O135" i="6"/>
  <c r="M142" i="6"/>
  <c r="N142" i="6"/>
  <c r="O142" i="6"/>
  <c r="M146" i="6"/>
  <c r="N146" i="6"/>
  <c r="O146" i="6"/>
  <c r="M153" i="6"/>
  <c r="N153" i="6"/>
  <c r="O153" i="6"/>
  <c r="M158" i="6"/>
  <c r="N158" i="6"/>
  <c r="O158" i="6"/>
  <c r="L16" i="4"/>
  <c r="M16" i="4"/>
  <c r="N16" i="4"/>
  <c r="L17" i="4"/>
  <c r="M17" i="4"/>
  <c r="N17" i="4"/>
  <c r="L18" i="4"/>
  <c r="M18" i="4"/>
  <c r="N18" i="4"/>
  <c r="L24" i="4"/>
  <c r="M24" i="4"/>
  <c r="N24" i="4"/>
  <c r="L29" i="4"/>
  <c r="M29" i="4"/>
  <c r="N29" i="4"/>
  <c r="L36" i="4"/>
  <c r="N36" i="4"/>
  <c r="L40" i="4"/>
  <c r="M40" i="4"/>
  <c r="N40" i="4"/>
  <c r="N46" i="4"/>
  <c r="L50" i="4"/>
  <c r="N50" i="4"/>
  <c r="N56" i="4"/>
  <c r="L60" i="4"/>
  <c r="N60" i="4"/>
  <c r="M66" i="4"/>
  <c r="N66" i="4"/>
  <c r="L70" i="4"/>
  <c r="M70" i="4"/>
  <c r="N70" i="4"/>
  <c r="L74" i="4"/>
  <c r="N74" i="4"/>
  <c r="L75" i="4"/>
  <c r="L78" i="4"/>
  <c r="M78" i="4"/>
  <c r="N78" i="4"/>
  <c r="M82" i="4"/>
  <c r="N82" i="4"/>
  <c r="L86" i="4"/>
  <c r="M86" i="4"/>
  <c r="N86" i="4"/>
  <c r="M90" i="4"/>
  <c r="N90" i="4"/>
  <c r="L96" i="4"/>
  <c r="M96" i="4"/>
  <c r="N96" i="4"/>
  <c r="M102" i="4"/>
  <c r="N102" i="4"/>
  <c r="L106" i="4"/>
  <c r="N106" i="4"/>
  <c r="M110" i="4"/>
  <c r="N110" i="4"/>
  <c r="L115" i="4"/>
  <c r="M115" i="4"/>
  <c r="N115" i="4"/>
  <c r="L118" i="4"/>
  <c r="M118" i="4"/>
  <c r="N118" i="4"/>
  <c r="M124" i="4"/>
  <c r="N124" i="4"/>
  <c r="M128" i="4"/>
  <c r="N128" i="4"/>
  <c r="L134" i="4"/>
  <c r="M134" i="4"/>
  <c r="N134" i="4"/>
  <c r="L140" i="4"/>
  <c r="M140" i="4"/>
  <c r="N140" i="4"/>
  <c r="L141" i="4"/>
  <c r="M141" i="4"/>
  <c r="N141" i="4"/>
  <c r="L147" i="4"/>
  <c r="M147" i="4"/>
  <c r="N147" i="4"/>
  <c r="L152" i="4"/>
  <c r="M152" i="4"/>
  <c r="N152" i="4"/>
  <c r="L157" i="4"/>
  <c r="M157" i="4"/>
  <c r="N157" i="4"/>
  <c r="L159" i="4"/>
  <c r="M161" i="4"/>
  <c r="L162" i="4"/>
  <c r="M162" i="4"/>
  <c r="N162" i="4"/>
  <c r="L168" i="4"/>
  <c r="M168" i="4"/>
  <c r="N168" i="4"/>
  <c r="L174" i="4"/>
  <c r="M174" i="4"/>
  <c r="N174" i="4"/>
  <c r="L179" i="4"/>
  <c r="M179" i="4"/>
  <c r="N179" i="4"/>
  <c r="J134" i="6"/>
  <c r="J133" i="6" s="1"/>
  <c r="O133" i="6" s="1"/>
  <c r="I134" i="6"/>
  <c r="I133" i="6" s="1"/>
  <c r="N133" i="6" s="1"/>
  <c r="H134" i="6"/>
  <c r="H133" i="6" s="1"/>
  <c r="M133" i="6" s="1"/>
  <c r="J162" i="4"/>
  <c r="I162" i="4"/>
  <c r="H161" i="4"/>
  <c r="H160" i="4" s="1"/>
  <c r="N160" i="4" s="1"/>
  <c r="G161" i="4"/>
  <c r="F161" i="4"/>
  <c r="L161" i="4" s="1"/>
  <c r="F160" i="4"/>
  <c r="F159" i="4" s="1"/>
  <c r="F158" i="4" s="1"/>
  <c r="L158" i="4" s="1"/>
  <c r="J78" i="4"/>
  <c r="G78" i="4"/>
  <c r="I78" i="4"/>
  <c r="H77" i="4"/>
  <c r="N77" i="4" s="1"/>
  <c r="G77" i="4"/>
  <c r="F77" i="4"/>
  <c r="L77" i="4" s="1"/>
  <c r="F76" i="4"/>
  <c r="L76" i="4" s="1"/>
  <c r="F75" i="4"/>
  <c r="G76" i="4" l="1"/>
  <c r="M76" i="4" s="1"/>
  <c r="M77" i="4"/>
  <c r="M134" i="6"/>
  <c r="J161" i="4"/>
  <c r="L160" i="4"/>
  <c r="O134" i="6"/>
  <c r="N134" i="6"/>
  <c r="N161" i="4"/>
  <c r="H76" i="4"/>
  <c r="J76" i="4" s="1"/>
  <c r="G160" i="4"/>
  <c r="M160" i="4" s="1"/>
  <c r="I161" i="4"/>
  <c r="H159" i="4"/>
  <c r="N159" i="4" s="1"/>
  <c r="J77" i="4"/>
  <c r="G75" i="4"/>
  <c r="M75" i="4" s="1"/>
  <c r="I76" i="4"/>
  <c r="I77" i="4"/>
  <c r="K36" i="6"/>
  <c r="K35" i="6"/>
  <c r="H15" i="4"/>
  <c r="N15" i="4" s="1"/>
  <c r="G46" i="4"/>
  <c r="M46" i="4" s="1"/>
  <c r="J160" i="4" l="1"/>
  <c r="H75" i="4"/>
  <c r="N76" i="4"/>
  <c r="I160" i="4"/>
  <c r="G159" i="4"/>
  <c r="M159" i="4" s="1"/>
  <c r="H158" i="4"/>
  <c r="J75" i="4"/>
  <c r="F25" i="8"/>
  <c r="E25" i="8"/>
  <c r="G27" i="8"/>
  <c r="D25" i="8"/>
  <c r="E12" i="8"/>
  <c r="M43" i="3"/>
  <c r="L43" i="3"/>
  <c r="K43" i="3"/>
  <c r="N46" i="3"/>
  <c r="N47" i="3"/>
  <c r="N45" i="3"/>
  <c r="N158" i="4" l="1"/>
  <c r="J159" i="4"/>
  <c r="N75" i="4"/>
  <c r="I75" i="4"/>
  <c r="G158" i="4"/>
  <c r="I159" i="4"/>
  <c r="J158" i="4"/>
  <c r="I158" i="4"/>
  <c r="I16" i="4"/>
  <c r="I17" i="4"/>
  <c r="I18" i="4"/>
  <c r="I24" i="4"/>
  <c r="I40" i="4"/>
  <c r="I86" i="4"/>
  <c r="I96" i="4"/>
  <c r="I115" i="4"/>
  <c r="I118" i="4"/>
  <c r="I134" i="4"/>
  <c r="I140" i="4"/>
  <c r="I141" i="4"/>
  <c r="I147" i="4"/>
  <c r="I152" i="4"/>
  <c r="I157" i="4"/>
  <c r="I168" i="4"/>
  <c r="I174" i="4"/>
  <c r="J16" i="4"/>
  <c r="J17" i="4"/>
  <c r="J18" i="4"/>
  <c r="J24" i="4"/>
  <c r="J40" i="4"/>
  <c r="J86" i="4"/>
  <c r="J96" i="4"/>
  <c r="J115" i="4"/>
  <c r="J134" i="4"/>
  <c r="J147" i="4"/>
  <c r="J152" i="4"/>
  <c r="J157" i="4"/>
  <c r="J168" i="4"/>
  <c r="J174" i="4"/>
  <c r="G15" i="4"/>
  <c r="F15" i="4"/>
  <c r="L15" i="4" s="1"/>
  <c r="F14" i="4"/>
  <c r="L14" i="4" s="1"/>
  <c r="H14" i="4"/>
  <c r="N14" i="4" s="1"/>
  <c r="H156" i="4"/>
  <c r="G156" i="4"/>
  <c r="F156" i="4"/>
  <c r="H150" i="4"/>
  <c r="G151" i="4"/>
  <c r="M151" i="4" s="1"/>
  <c r="H151" i="4"/>
  <c r="F151" i="4"/>
  <c r="F146" i="4"/>
  <c r="J110" i="4"/>
  <c r="I110" i="4"/>
  <c r="F105" i="4"/>
  <c r="G106" i="4"/>
  <c r="H105" i="4"/>
  <c r="N105" i="4" s="1"/>
  <c r="J102" i="4"/>
  <c r="I102" i="4"/>
  <c r="J90" i="4"/>
  <c r="I90" i="4"/>
  <c r="J82" i="4"/>
  <c r="I82" i="4"/>
  <c r="G74" i="4"/>
  <c r="J66" i="4"/>
  <c r="I66" i="4"/>
  <c r="H73" i="4"/>
  <c r="F73" i="4"/>
  <c r="G60" i="4"/>
  <c r="F59" i="4"/>
  <c r="H59" i="4"/>
  <c r="G56" i="4"/>
  <c r="F49" i="4"/>
  <c r="G50" i="4"/>
  <c r="H49" i="4"/>
  <c r="G36" i="4"/>
  <c r="J29" i="4"/>
  <c r="I29" i="4"/>
  <c r="K16" i="6"/>
  <c r="K17" i="6"/>
  <c r="K18" i="6"/>
  <c r="K19" i="6"/>
  <c r="K23" i="6"/>
  <c r="K24" i="6"/>
  <c r="K25" i="6"/>
  <c r="K26" i="6"/>
  <c r="K29" i="6"/>
  <c r="K30" i="6"/>
  <c r="K31" i="6"/>
  <c r="K32" i="6"/>
  <c r="K33" i="6"/>
  <c r="K34" i="6"/>
  <c r="K37" i="6"/>
  <c r="K39" i="6"/>
  <c r="K40" i="6"/>
  <c r="K41" i="6"/>
  <c r="K42" i="6"/>
  <c r="K43" i="6"/>
  <c r="K44" i="6"/>
  <c r="K45" i="6"/>
  <c r="K47" i="6"/>
  <c r="K48" i="6"/>
  <c r="K49" i="6"/>
  <c r="K50" i="6"/>
  <c r="K51" i="6"/>
  <c r="K57" i="6"/>
  <c r="K61" i="6"/>
  <c r="K62" i="6"/>
  <c r="K63" i="6"/>
  <c r="K64" i="6"/>
  <c r="K65" i="6"/>
  <c r="K66" i="6"/>
  <c r="K67" i="6"/>
  <c r="K68" i="6"/>
  <c r="K71" i="6"/>
  <c r="K76" i="6"/>
  <c r="K81" i="6"/>
  <c r="K82" i="6"/>
  <c r="K83" i="6"/>
  <c r="K84" i="6"/>
  <c r="K86" i="6"/>
  <c r="K87" i="6"/>
  <c r="K91" i="6"/>
  <c r="K92" i="6"/>
  <c r="K94" i="6"/>
  <c r="K95" i="6"/>
  <c r="K98" i="6"/>
  <c r="K101" i="6"/>
  <c r="K106" i="6"/>
  <c r="K110" i="6"/>
  <c r="K111" i="6"/>
  <c r="K119" i="6"/>
  <c r="K125" i="6"/>
  <c r="K130" i="6"/>
  <c r="K132" i="6"/>
  <c r="K142" i="6"/>
  <c r="K146" i="6"/>
  <c r="K153" i="6"/>
  <c r="I22" i="6"/>
  <c r="N22" i="6" s="1"/>
  <c r="J22" i="6"/>
  <c r="H22" i="6"/>
  <c r="I90" i="6"/>
  <c r="H118" i="6"/>
  <c r="M118" i="6" s="1"/>
  <c r="H117" i="6"/>
  <c r="M117" i="6" s="1"/>
  <c r="H131" i="6"/>
  <c r="M131" i="6" s="1"/>
  <c r="N127" i="6"/>
  <c r="O127" i="6"/>
  <c r="H127" i="6"/>
  <c r="M127" i="6" s="1"/>
  <c r="J131" i="6"/>
  <c r="I131" i="6"/>
  <c r="N131" i="6" s="1"/>
  <c r="I105" i="6"/>
  <c r="N105" i="6" s="1"/>
  <c r="J105" i="6"/>
  <c r="O105" i="6" s="1"/>
  <c r="H105" i="6"/>
  <c r="J90" i="6"/>
  <c r="O90" i="6" s="1"/>
  <c r="H90" i="6"/>
  <c r="E20" i="8"/>
  <c r="E13" i="8"/>
  <c r="N54" i="3"/>
  <c r="N53" i="3"/>
  <c r="N52" i="3"/>
  <c r="N51" i="3"/>
  <c r="F72" i="4" l="1"/>
  <c r="L73" i="4"/>
  <c r="I36" i="4"/>
  <c r="M36" i="4"/>
  <c r="F48" i="4"/>
  <c r="L49" i="4"/>
  <c r="F58" i="4"/>
  <c r="L59" i="4"/>
  <c r="J106" i="4"/>
  <c r="M106" i="4"/>
  <c r="F145" i="4"/>
  <c r="L146" i="4"/>
  <c r="J50" i="4"/>
  <c r="M50" i="4"/>
  <c r="G73" i="4"/>
  <c r="M73" i="4" s="1"/>
  <c r="M74" i="4"/>
  <c r="J36" i="4"/>
  <c r="I56" i="4"/>
  <c r="M56" i="4"/>
  <c r="I60" i="4"/>
  <c r="M60" i="4"/>
  <c r="F104" i="4"/>
  <c r="L105" i="4"/>
  <c r="F150" i="4"/>
  <c r="L151" i="4"/>
  <c r="F155" i="4"/>
  <c r="L156" i="4"/>
  <c r="H104" i="6"/>
  <c r="M104" i="6" s="1"/>
  <c r="M105" i="6"/>
  <c r="H21" i="6"/>
  <c r="M22" i="6"/>
  <c r="H89" i="6"/>
  <c r="M89" i="6" s="1"/>
  <c r="M90" i="6"/>
  <c r="I89" i="6"/>
  <c r="N89" i="6" s="1"/>
  <c r="N90" i="6"/>
  <c r="J56" i="4"/>
  <c r="H104" i="4"/>
  <c r="N104" i="4" s="1"/>
  <c r="G155" i="4"/>
  <c r="M156" i="4"/>
  <c r="K131" i="6"/>
  <c r="O131" i="6"/>
  <c r="K22" i="6"/>
  <c r="O22" i="6"/>
  <c r="H48" i="4"/>
  <c r="N49" i="4"/>
  <c r="H72" i="4"/>
  <c r="N72" i="4" s="1"/>
  <c r="N73" i="4"/>
  <c r="I73" i="4"/>
  <c r="H103" i="4"/>
  <c r="N103" i="4" s="1"/>
  <c r="H149" i="4"/>
  <c r="N150" i="4"/>
  <c r="J151" i="4"/>
  <c r="N151" i="4"/>
  <c r="I151" i="4"/>
  <c r="H155" i="4"/>
  <c r="J155" i="4" s="1"/>
  <c r="N156" i="4"/>
  <c r="M158" i="4"/>
  <c r="I15" i="4"/>
  <c r="M15" i="4"/>
  <c r="H58" i="4"/>
  <c r="N58" i="4" s="1"/>
  <c r="N59" i="4"/>
  <c r="K90" i="6"/>
  <c r="K127" i="6"/>
  <c r="K122" i="6"/>
  <c r="K105" i="6"/>
  <c r="G150" i="4"/>
  <c r="G14" i="4"/>
  <c r="M14" i="4" s="1"/>
  <c r="J73" i="4"/>
  <c r="I106" i="4"/>
  <c r="I74" i="4"/>
  <c r="I50" i="4"/>
  <c r="J60" i="4"/>
  <c r="J15" i="4"/>
  <c r="I156" i="4"/>
  <c r="J156" i="4"/>
  <c r="J74" i="4"/>
  <c r="I155" i="4"/>
  <c r="H13" i="4"/>
  <c r="N13" i="4" s="1"/>
  <c r="G105" i="4"/>
  <c r="H71" i="4"/>
  <c r="G72" i="4"/>
  <c r="G59" i="4"/>
  <c r="H57" i="4"/>
  <c r="N57" i="4" s="1"/>
  <c r="G49" i="4"/>
  <c r="F39" i="4"/>
  <c r="I124" i="4"/>
  <c r="F110" i="4"/>
  <c r="L110" i="4" s="1"/>
  <c r="I128" i="4"/>
  <c r="F128" i="4"/>
  <c r="L128" i="4" s="1"/>
  <c r="F124" i="4"/>
  <c r="L124" i="4" s="1"/>
  <c r="F102" i="4"/>
  <c r="L102" i="4" s="1"/>
  <c r="F82" i="4"/>
  <c r="L82" i="4" s="1"/>
  <c r="I70" i="4"/>
  <c r="F66" i="4"/>
  <c r="L66" i="4" s="1"/>
  <c r="F56" i="4"/>
  <c r="L56" i="4" s="1"/>
  <c r="F46" i="4"/>
  <c r="L46" i="4" s="1"/>
  <c r="I179" i="4"/>
  <c r="I80" i="6"/>
  <c r="N80" i="6" s="1"/>
  <c r="J80" i="6"/>
  <c r="J28" i="6"/>
  <c r="O28" i="6" s="1"/>
  <c r="N60" i="6"/>
  <c r="O60" i="6"/>
  <c r="J13" i="6"/>
  <c r="O13" i="6" s="1"/>
  <c r="I97" i="6"/>
  <c r="N97" i="6" s="1"/>
  <c r="I14" i="6"/>
  <c r="I15" i="6"/>
  <c r="L39" i="3"/>
  <c r="M39" i="3"/>
  <c r="K39" i="3"/>
  <c r="E22" i="8"/>
  <c r="E30" i="8"/>
  <c r="E28" i="8"/>
  <c r="E19" i="8"/>
  <c r="E17" i="8"/>
  <c r="D14" i="8"/>
  <c r="D23" i="8"/>
  <c r="D16" i="8"/>
  <c r="D13" i="8"/>
  <c r="D12" i="8"/>
  <c r="M22" i="9"/>
  <c r="M23" i="9" s="1"/>
  <c r="M24" i="9" s="1"/>
  <c r="I72" i="4" l="1"/>
  <c r="M72" i="4"/>
  <c r="J150" i="4"/>
  <c r="M150" i="4"/>
  <c r="F149" i="4"/>
  <c r="L150" i="4"/>
  <c r="I49" i="4"/>
  <c r="M49" i="4"/>
  <c r="F144" i="4"/>
  <c r="L145" i="4"/>
  <c r="L58" i="4"/>
  <c r="F57" i="4"/>
  <c r="L57" i="4" s="1"/>
  <c r="K15" i="6"/>
  <c r="N15" i="6"/>
  <c r="I105" i="4"/>
  <c r="M105" i="4"/>
  <c r="G154" i="4"/>
  <c r="M155" i="4"/>
  <c r="H20" i="6"/>
  <c r="M20" i="6" s="1"/>
  <c r="M21" i="6"/>
  <c r="F154" i="4"/>
  <c r="L155" i="4"/>
  <c r="F103" i="4"/>
  <c r="L103" i="4" s="1"/>
  <c r="L104" i="4"/>
  <c r="F38" i="4"/>
  <c r="L38" i="4" s="1"/>
  <c r="L39" i="4"/>
  <c r="K14" i="6"/>
  <c r="N14" i="6"/>
  <c r="F37" i="4"/>
  <c r="L37" i="4" s="1"/>
  <c r="I59" i="4"/>
  <c r="M59" i="4"/>
  <c r="F47" i="4"/>
  <c r="L47" i="4" s="1"/>
  <c r="L48" i="4"/>
  <c r="F71" i="4"/>
  <c r="L71" i="4" s="1"/>
  <c r="L72" i="4"/>
  <c r="K80" i="6"/>
  <c r="O80" i="6"/>
  <c r="N27" i="6"/>
  <c r="N28" i="6"/>
  <c r="H47" i="4"/>
  <c r="N47" i="4" s="1"/>
  <c r="N48" i="4"/>
  <c r="N71" i="4"/>
  <c r="H148" i="4"/>
  <c r="N148" i="4" s="1"/>
  <c r="N149" i="4"/>
  <c r="H154" i="4"/>
  <c r="N155" i="4"/>
  <c r="K60" i="6"/>
  <c r="J12" i="6"/>
  <c r="I46" i="4"/>
  <c r="G13" i="4"/>
  <c r="M13" i="4" s="1"/>
  <c r="I14" i="4"/>
  <c r="J70" i="4"/>
  <c r="J49" i="4"/>
  <c r="G149" i="4"/>
  <c r="M149" i="4" s="1"/>
  <c r="I150" i="4"/>
  <c r="J105" i="4"/>
  <c r="J14" i="4"/>
  <c r="J27" i="6"/>
  <c r="K28" i="6"/>
  <c r="J59" i="4"/>
  <c r="J124" i="4"/>
  <c r="J72" i="4"/>
  <c r="J128" i="4"/>
  <c r="J46" i="4"/>
  <c r="H12" i="4"/>
  <c r="N12" i="4" s="1"/>
  <c r="G104" i="4"/>
  <c r="M104" i="4" s="1"/>
  <c r="G58" i="4"/>
  <c r="M58" i="4" s="1"/>
  <c r="G71" i="4"/>
  <c r="G48" i="4"/>
  <c r="M48" i="4" s="1"/>
  <c r="I13" i="6"/>
  <c r="I71" i="4" l="1"/>
  <c r="M71" i="4"/>
  <c r="I12" i="6"/>
  <c r="I11" i="6" s="1"/>
  <c r="N13" i="6"/>
  <c r="F153" i="4"/>
  <c r="L153" i="4" s="1"/>
  <c r="L154" i="4"/>
  <c r="G153" i="4"/>
  <c r="M153" i="4" s="1"/>
  <c r="M154" i="4"/>
  <c r="F143" i="4"/>
  <c r="L144" i="4"/>
  <c r="F148" i="4"/>
  <c r="L148" i="4" s="1"/>
  <c r="L149" i="4"/>
  <c r="K27" i="6"/>
  <c r="O27" i="6"/>
  <c r="H153" i="4"/>
  <c r="N154" i="4"/>
  <c r="I154" i="4"/>
  <c r="J154" i="4"/>
  <c r="G57" i="4"/>
  <c r="M57" i="4" s="1"/>
  <c r="I58" i="4"/>
  <c r="J58" i="4"/>
  <c r="J71" i="4"/>
  <c r="G12" i="4"/>
  <c r="M12" i="4" s="1"/>
  <c r="I13" i="4"/>
  <c r="K13" i="6"/>
  <c r="I104" i="4"/>
  <c r="J104" i="4"/>
  <c r="G148" i="4"/>
  <c r="M148" i="4" s="1"/>
  <c r="I149" i="4"/>
  <c r="J149" i="4"/>
  <c r="I48" i="4"/>
  <c r="J48" i="4"/>
  <c r="J13" i="4"/>
  <c r="J11" i="6"/>
  <c r="K12" i="6"/>
  <c r="H11" i="4"/>
  <c r="G103" i="4"/>
  <c r="M103" i="4" s="1"/>
  <c r="G47" i="4"/>
  <c r="M47" i="4" s="1"/>
  <c r="H133" i="4"/>
  <c r="N133" i="4" s="1"/>
  <c r="G133" i="4"/>
  <c r="F133" i="4"/>
  <c r="H139" i="4"/>
  <c r="N139" i="4" s="1"/>
  <c r="G117" i="4"/>
  <c r="M117" i="4" s="1"/>
  <c r="H117" i="4"/>
  <c r="F117" i="4"/>
  <c r="G139" i="4"/>
  <c r="F139" i="4"/>
  <c r="L139" i="4" s="1"/>
  <c r="O59" i="6"/>
  <c r="I15" i="8"/>
  <c r="J15" i="8"/>
  <c r="I24" i="8"/>
  <c r="J24" i="8"/>
  <c r="I29" i="8"/>
  <c r="J29" i="8"/>
  <c r="I32" i="8"/>
  <c r="J32" i="8"/>
  <c r="H124" i="6"/>
  <c r="J124" i="6"/>
  <c r="O124" i="6" s="1"/>
  <c r="I124" i="6"/>
  <c r="N124" i="6" s="1"/>
  <c r="I139" i="4" l="1"/>
  <c r="M139" i="4"/>
  <c r="H116" i="6"/>
  <c r="M124" i="6"/>
  <c r="F116" i="4"/>
  <c r="L116" i="4" s="1"/>
  <c r="L117" i="4"/>
  <c r="F132" i="4"/>
  <c r="L132" i="4" s="1"/>
  <c r="L133" i="4"/>
  <c r="H116" i="4"/>
  <c r="N116" i="4" s="1"/>
  <c r="N117" i="4"/>
  <c r="I133" i="4"/>
  <c r="M133" i="4"/>
  <c r="J12" i="4"/>
  <c r="L143" i="4"/>
  <c r="F142" i="4"/>
  <c r="L142" i="4" s="1"/>
  <c r="J153" i="4"/>
  <c r="N153" i="4"/>
  <c r="I153" i="4"/>
  <c r="I117" i="4"/>
  <c r="O58" i="6"/>
  <c r="I103" i="4"/>
  <c r="J103" i="4"/>
  <c r="H132" i="4"/>
  <c r="N132" i="4" s="1"/>
  <c r="J133" i="4"/>
  <c r="I148" i="4"/>
  <c r="J148" i="4"/>
  <c r="K124" i="6"/>
  <c r="I47" i="4"/>
  <c r="J47" i="4"/>
  <c r="G11" i="4"/>
  <c r="I11" i="4" s="1"/>
  <c r="I12" i="4"/>
  <c r="I57" i="4"/>
  <c r="J57" i="4"/>
  <c r="G116" i="4"/>
  <c r="H138" i="4"/>
  <c r="N138" i="4" s="1"/>
  <c r="H131" i="4"/>
  <c r="N131" i="4" s="1"/>
  <c r="M116" i="6" l="1"/>
  <c r="H115" i="6"/>
  <c r="M115" i="6" s="1"/>
  <c r="I116" i="4"/>
  <c r="M116" i="4"/>
  <c r="J11" i="4"/>
  <c r="H137" i="4"/>
  <c r="N137" i="4" s="1"/>
  <c r="N118" i="6"/>
  <c r="J118" i="6"/>
  <c r="P28" i="3"/>
  <c r="P29" i="3"/>
  <c r="P19" i="3"/>
  <c r="N28" i="3"/>
  <c r="N50" i="3"/>
  <c r="J26" i="8"/>
  <c r="J16" i="8"/>
  <c r="I14" i="8"/>
  <c r="I30" i="8"/>
  <c r="J31" i="8"/>
  <c r="I31" i="8"/>
  <c r="J23" i="8"/>
  <c r="I23" i="8"/>
  <c r="I21" i="8"/>
  <c r="J20" i="8"/>
  <c r="I18" i="8"/>
  <c r="J18" i="8"/>
  <c r="I16" i="8"/>
  <c r="J14" i="8"/>
  <c r="J13" i="8"/>
  <c r="I13" i="8"/>
  <c r="J12" i="8"/>
  <c r="K118" i="6" l="1"/>
  <c r="O118" i="6"/>
  <c r="F11" i="8"/>
  <c r="I25" i="8"/>
  <c r="I26" i="8"/>
  <c r="I22" i="8"/>
  <c r="H136" i="4"/>
  <c r="N136" i="4" s="1"/>
  <c r="H135" i="4" l="1"/>
  <c r="N135" i="4" s="1"/>
  <c r="I79" i="6"/>
  <c r="N79" i="6" s="1"/>
  <c r="I100" i="6"/>
  <c r="J100" i="6"/>
  <c r="H100" i="6"/>
  <c r="H39" i="4"/>
  <c r="N39" i="4" s="1"/>
  <c r="G39" i="4"/>
  <c r="M39" i="4" s="1"/>
  <c r="I99" i="6" l="1"/>
  <c r="N100" i="6"/>
  <c r="H99" i="6"/>
  <c r="M99" i="6" s="1"/>
  <c r="M100" i="6"/>
  <c r="K100" i="6"/>
  <c r="O100" i="6"/>
  <c r="I39" i="4"/>
  <c r="J39" i="4"/>
  <c r="G38" i="4"/>
  <c r="M38" i="4" s="1"/>
  <c r="J99" i="6"/>
  <c r="J96" i="6" s="1"/>
  <c r="H37" i="4"/>
  <c r="N37" i="4" s="1"/>
  <c r="G37" i="4"/>
  <c r="M37" i="4" s="1"/>
  <c r="H38" i="4"/>
  <c r="I78" i="6"/>
  <c r="M21" i="3"/>
  <c r="I96" i="6" l="1"/>
  <c r="N96" i="6" s="1"/>
  <c r="N99" i="6"/>
  <c r="K99" i="6"/>
  <c r="O99" i="6"/>
  <c r="I77" i="6"/>
  <c r="N77" i="6" s="1"/>
  <c r="N78" i="6"/>
  <c r="J38" i="4"/>
  <c r="N38" i="4"/>
  <c r="I37" i="4"/>
  <c r="J37" i="4"/>
  <c r="I38" i="4"/>
  <c r="J21" i="8"/>
  <c r="J104" i="6"/>
  <c r="O104" i="6" s="1"/>
  <c r="J89" i="6"/>
  <c r="G127" i="4"/>
  <c r="M127" i="4" s="1"/>
  <c r="H101" i="4"/>
  <c r="N101" i="4" s="1"/>
  <c r="H81" i="4"/>
  <c r="N81" i="4" s="1"/>
  <c r="G65" i="4"/>
  <c r="M65" i="4" s="1"/>
  <c r="H178" i="4"/>
  <c r="N178" i="4" s="1"/>
  <c r="G178" i="4"/>
  <c r="M178" i="4" s="1"/>
  <c r="F178" i="4"/>
  <c r="H173" i="4"/>
  <c r="N173" i="4" s="1"/>
  <c r="F173" i="4"/>
  <c r="H167" i="4"/>
  <c r="N167" i="4" s="1"/>
  <c r="G167" i="4"/>
  <c r="F167" i="4"/>
  <c r="L167" i="4" s="1"/>
  <c r="H146" i="4"/>
  <c r="N146" i="4" s="1"/>
  <c r="G146" i="4"/>
  <c r="G138" i="4"/>
  <c r="F138" i="4"/>
  <c r="H127" i="4"/>
  <c r="F127" i="4"/>
  <c r="L127" i="4" s="1"/>
  <c r="F123" i="4"/>
  <c r="H114" i="4"/>
  <c r="N114" i="4" s="1"/>
  <c r="G114" i="4"/>
  <c r="M114" i="4" s="1"/>
  <c r="F114" i="4"/>
  <c r="L114" i="4" s="1"/>
  <c r="F109" i="4"/>
  <c r="L109" i="4" s="1"/>
  <c r="G109" i="4"/>
  <c r="M109" i="4" s="1"/>
  <c r="F101" i="4"/>
  <c r="L101" i="4" s="1"/>
  <c r="H95" i="4"/>
  <c r="N95" i="4" s="1"/>
  <c r="G95" i="4"/>
  <c r="F95" i="4"/>
  <c r="L95" i="4" s="1"/>
  <c r="F90" i="4"/>
  <c r="L90" i="4" s="1"/>
  <c r="H89" i="4"/>
  <c r="N89" i="4" s="1"/>
  <c r="H85" i="4"/>
  <c r="G85" i="4"/>
  <c r="M85" i="4" s="1"/>
  <c r="F85" i="4"/>
  <c r="L85" i="4" s="1"/>
  <c r="G81" i="4"/>
  <c r="M81" i="4" s="1"/>
  <c r="F69" i="4"/>
  <c r="L69" i="4" s="1"/>
  <c r="F65" i="4"/>
  <c r="L65" i="4" s="1"/>
  <c r="G55" i="4"/>
  <c r="M55" i="4" s="1"/>
  <c r="F45" i="4"/>
  <c r="L45" i="4" s="1"/>
  <c r="F35" i="4"/>
  <c r="L35" i="4" s="1"/>
  <c r="H28" i="4"/>
  <c r="N28" i="4" s="1"/>
  <c r="H23" i="4"/>
  <c r="N23" i="4" s="1"/>
  <c r="G23" i="4"/>
  <c r="F23" i="4"/>
  <c r="L23" i="4" s="1"/>
  <c r="I146" i="4" l="1"/>
  <c r="M146" i="4"/>
  <c r="F172" i="4"/>
  <c r="L172" i="4" s="1"/>
  <c r="L173" i="4"/>
  <c r="F137" i="4"/>
  <c r="L138" i="4"/>
  <c r="I95" i="4"/>
  <c r="M95" i="4"/>
  <c r="F122" i="4"/>
  <c r="L123" i="4"/>
  <c r="I138" i="4"/>
  <c r="M138" i="4"/>
  <c r="I167" i="4"/>
  <c r="M167" i="4"/>
  <c r="F177" i="4"/>
  <c r="L178" i="4"/>
  <c r="K97" i="6"/>
  <c r="O97" i="6"/>
  <c r="K89" i="6"/>
  <c r="O89" i="6"/>
  <c r="J85" i="4"/>
  <c r="N85" i="4"/>
  <c r="J127" i="4"/>
  <c r="N127" i="4"/>
  <c r="I23" i="4"/>
  <c r="M23" i="4"/>
  <c r="I114" i="4"/>
  <c r="J95" i="4"/>
  <c r="I81" i="4"/>
  <c r="J81" i="4"/>
  <c r="J167" i="4"/>
  <c r="J146" i="4"/>
  <c r="I127" i="4"/>
  <c r="J23" i="4"/>
  <c r="I85" i="4"/>
  <c r="J114" i="4"/>
  <c r="F64" i="4"/>
  <c r="L64" i="4" s="1"/>
  <c r="F34" i="4"/>
  <c r="L34" i="4" s="1"/>
  <c r="J88" i="6"/>
  <c r="G137" i="4"/>
  <c r="M137" i="4" s="1"/>
  <c r="G64" i="4"/>
  <c r="M64" i="4" s="1"/>
  <c r="I20" i="8"/>
  <c r="I19" i="8"/>
  <c r="H88" i="4"/>
  <c r="N88" i="4" s="1"/>
  <c r="G126" i="4"/>
  <c r="M126" i="4" s="1"/>
  <c r="H94" i="4"/>
  <c r="H166" i="4"/>
  <c r="N166" i="4" s="1"/>
  <c r="H22" i="4"/>
  <c r="N22" i="4" s="1"/>
  <c r="H27" i="4"/>
  <c r="N27" i="4" s="1"/>
  <c r="H145" i="4"/>
  <c r="N145" i="4" s="1"/>
  <c r="G177" i="4"/>
  <c r="M177" i="4" s="1"/>
  <c r="I178" i="4"/>
  <c r="G35" i="4"/>
  <c r="M35" i="4" s="1"/>
  <c r="H80" i="4"/>
  <c r="N80" i="4" s="1"/>
  <c r="F89" i="4"/>
  <c r="L89" i="4" s="1"/>
  <c r="F113" i="4"/>
  <c r="L113" i="4" s="1"/>
  <c r="G89" i="4"/>
  <c r="H45" i="4"/>
  <c r="N45" i="4" s="1"/>
  <c r="G84" i="4"/>
  <c r="M84" i="4" s="1"/>
  <c r="F94" i="4"/>
  <c r="L94" i="4" s="1"/>
  <c r="G94" i="4"/>
  <c r="M94" i="4" s="1"/>
  <c r="F166" i="4"/>
  <c r="L166" i="4" s="1"/>
  <c r="H84" i="4"/>
  <c r="N84" i="4" s="1"/>
  <c r="G173" i="4"/>
  <c r="F28" i="4"/>
  <c r="L28" i="4" s="1"/>
  <c r="F68" i="4"/>
  <c r="F55" i="4"/>
  <c r="L55" i="4" s="1"/>
  <c r="F108" i="4"/>
  <c r="L108" i="4" s="1"/>
  <c r="G113" i="4"/>
  <c r="M113" i="4" s="1"/>
  <c r="F22" i="4"/>
  <c r="L22" i="4" s="1"/>
  <c r="F84" i="4"/>
  <c r="G108" i="4"/>
  <c r="M108" i="4" s="1"/>
  <c r="F126" i="4"/>
  <c r="L126" i="4" s="1"/>
  <c r="G132" i="4"/>
  <c r="M132" i="4" s="1"/>
  <c r="F171" i="4"/>
  <c r="L171" i="4" s="1"/>
  <c r="F100" i="4"/>
  <c r="L100" i="4" s="1"/>
  <c r="H126" i="4"/>
  <c r="G28" i="4"/>
  <c r="F81" i="4"/>
  <c r="L81" i="4" s="1"/>
  <c r="H35" i="4"/>
  <c r="N35" i="4" s="1"/>
  <c r="G45" i="4"/>
  <c r="M45" i="4" s="1"/>
  <c r="H55" i="4"/>
  <c r="H113" i="4"/>
  <c r="N113" i="4" s="1"/>
  <c r="H109" i="4"/>
  <c r="H123" i="4"/>
  <c r="N123" i="4" s="1"/>
  <c r="G145" i="4"/>
  <c r="M145" i="4" s="1"/>
  <c r="G166" i="4"/>
  <c r="G80" i="4"/>
  <c r="M80" i="4" s="1"/>
  <c r="G22" i="4"/>
  <c r="F44" i="4"/>
  <c r="L44" i="4" s="1"/>
  <c r="G54" i="4"/>
  <c r="M54" i="4" s="1"/>
  <c r="H65" i="4"/>
  <c r="G69" i="4"/>
  <c r="M69" i="4" s="1"/>
  <c r="G123" i="4"/>
  <c r="H172" i="4"/>
  <c r="N172" i="4" s="1"/>
  <c r="H69" i="4"/>
  <c r="N69" i="4" s="1"/>
  <c r="H100" i="4"/>
  <c r="N100" i="4" s="1"/>
  <c r="G101" i="4"/>
  <c r="H177" i="4"/>
  <c r="N177" i="4" s="1"/>
  <c r="L35" i="3"/>
  <c r="L34" i="3" s="1"/>
  <c r="P49" i="3"/>
  <c r="D30" i="8"/>
  <c r="F30" i="8"/>
  <c r="J30" i="8" s="1"/>
  <c r="I157" i="6"/>
  <c r="H157" i="6"/>
  <c r="F83" i="4" l="1"/>
  <c r="L83" i="4" s="1"/>
  <c r="L84" i="4"/>
  <c r="F176" i="4"/>
  <c r="L177" i="4"/>
  <c r="I166" i="4"/>
  <c r="M166" i="4"/>
  <c r="H156" i="6"/>
  <c r="M157" i="6"/>
  <c r="F67" i="4"/>
  <c r="L67" i="4" s="1"/>
  <c r="L68" i="4"/>
  <c r="H93" i="4"/>
  <c r="N93" i="4" s="1"/>
  <c r="N94" i="4"/>
  <c r="I173" i="4"/>
  <c r="M173" i="4"/>
  <c r="F121" i="4"/>
  <c r="L121" i="4" s="1"/>
  <c r="L122" i="4"/>
  <c r="F136" i="4"/>
  <c r="L137" i="4"/>
  <c r="K96" i="6"/>
  <c r="O96" i="6"/>
  <c r="I156" i="6"/>
  <c r="N156" i="6" s="1"/>
  <c r="N157" i="6"/>
  <c r="I89" i="4"/>
  <c r="M89" i="4"/>
  <c r="J65" i="4"/>
  <c r="N65" i="4"/>
  <c r="I101" i="4"/>
  <c r="M101" i="4"/>
  <c r="J109" i="4"/>
  <c r="N109" i="4"/>
  <c r="I123" i="4"/>
  <c r="M123" i="4"/>
  <c r="J126" i="4"/>
  <c r="N126" i="4"/>
  <c r="I28" i="4"/>
  <c r="M28" i="4"/>
  <c r="I22" i="4"/>
  <c r="M22" i="4"/>
  <c r="J55" i="4"/>
  <c r="N55" i="4"/>
  <c r="J84" i="4"/>
  <c r="I94" i="4"/>
  <c r="J45" i="4"/>
  <c r="I145" i="4"/>
  <c r="I80" i="4"/>
  <c r="J69" i="4"/>
  <c r="J113" i="4"/>
  <c r="J35" i="4"/>
  <c r="I113" i="4"/>
  <c r="G83" i="4"/>
  <c r="M83" i="4" s="1"/>
  <c r="I84" i="4"/>
  <c r="I35" i="4"/>
  <c r="J166" i="4"/>
  <c r="I55" i="4"/>
  <c r="J123" i="4"/>
  <c r="J94" i="4"/>
  <c r="G136" i="4"/>
  <c r="I137" i="4"/>
  <c r="I109" i="4"/>
  <c r="I69" i="4"/>
  <c r="I132" i="4"/>
  <c r="J132" i="4"/>
  <c r="J80" i="4"/>
  <c r="J28" i="4"/>
  <c r="J101" i="4"/>
  <c r="I45" i="4"/>
  <c r="J145" i="4"/>
  <c r="H21" i="4"/>
  <c r="N21" i="4" s="1"/>
  <c r="J22" i="4"/>
  <c r="I126" i="4"/>
  <c r="J173" i="4"/>
  <c r="I65" i="4"/>
  <c r="J89" i="4"/>
  <c r="F63" i="4"/>
  <c r="F33" i="4"/>
  <c r="L33" i="4" s="1"/>
  <c r="O88" i="6"/>
  <c r="F112" i="4"/>
  <c r="F54" i="4"/>
  <c r="L54" i="4" s="1"/>
  <c r="H26" i="4"/>
  <c r="N26" i="4" s="1"/>
  <c r="G63" i="4"/>
  <c r="M63" i="4" s="1"/>
  <c r="G34" i="4"/>
  <c r="M34" i="4" s="1"/>
  <c r="G125" i="4"/>
  <c r="M125" i="4" s="1"/>
  <c r="G44" i="4"/>
  <c r="M44" i="4" s="1"/>
  <c r="H144" i="4"/>
  <c r="N144" i="4" s="1"/>
  <c r="H122" i="4"/>
  <c r="N122" i="4" s="1"/>
  <c r="H34" i="4"/>
  <c r="N34" i="4" s="1"/>
  <c r="G176" i="4"/>
  <c r="M176" i="4" s="1"/>
  <c r="I177" i="4"/>
  <c r="H165" i="4"/>
  <c r="N165" i="4" s="1"/>
  <c r="H87" i="4"/>
  <c r="N87" i="4" s="1"/>
  <c r="H79" i="4"/>
  <c r="N79" i="4" s="1"/>
  <c r="F88" i="4"/>
  <c r="L88" i="4" s="1"/>
  <c r="H83" i="4"/>
  <c r="N83" i="4" s="1"/>
  <c r="F165" i="4"/>
  <c r="L165" i="4" s="1"/>
  <c r="G93" i="4"/>
  <c r="F93" i="4"/>
  <c r="L93" i="4" s="1"/>
  <c r="H44" i="4"/>
  <c r="N44" i="4" s="1"/>
  <c r="G88" i="4"/>
  <c r="H108" i="4"/>
  <c r="G172" i="4"/>
  <c r="G100" i="4"/>
  <c r="F27" i="4"/>
  <c r="L27" i="4" s="1"/>
  <c r="G112" i="4"/>
  <c r="M112" i="4" s="1"/>
  <c r="F131" i="4"/>
  <c r="G107" i="4"/>
  <c r="M107" i="4" s="1"/>
  <c r="F107" i="4"/>
  <c r="L107" i="4" s="1"/>
  <c r="F21" i="4"/>
  <c r="L21" i="4" s="1"/>
  <c r="F125" i="4"/>
  <c r="L125" i="4" s="1"/>
  <c r="G131" i="4"/>
  <c r="M131" i="4" s="1"/>
  <c r="F170" i="4"/>
  <c r="L170" i="4" s="1"/>
  <c r="G165" i="4"/>
  <c r="H112" i="4"/>
  <c r="H54" i="4"/>
  <c r="F80" i="4"/>
  <c r="L80" i="4" s="1"/>
  <c r="G27" i="4"/>
  <c r="H125" i="4"/>
  <c r="N125" i="4" s="1"/>
  <c r="G144" i="4"/>
  <c r="M144" i="4" s="1"/>
  <c r="F99" i="4"/>
  <c r="G79" i="4"/>
  <c r="M79" i="4" s="1"/>
  <c r="G21" i="4"/>
  <c r="M21" i="4" s="1"/>
  <c r="H99" i="4"/>
  <c r="N99" i="4" s="1"/>
  <c r="H171" i="4"/>
  <c r="N171" i="4" s="1"/>
  <c r="G122" i="4"/>
  <c r="M122" i="4" s="1"/>
  <c r="G68" i="4"/>
  <c r="M68" i="4" s="1"/>
  <c r="H64" i="4"/>
  <c r="F13" i="4"/>
  <c r="L13" i="4" s="1"/>
  <c r="H176" i="4"/>
  <c r="N176" i="4" s="1"/>
  <c r="H68" i="4"/>
  <c r="N68" i="4" s="1"/>
  <c r="F53" i="4"/>
  <c r="G53" i="4"/>
  <c r="M53" i="4" s="1"/>
  <c r="F43" i="4"/>
  <c r="L43" i="4" s="1"/>
  <c r="I155" i="6"/>
  <c r="J157" i="6"/>
  <c r="O157" i="6" s="1"/>
  <c r="H155" i="6" l="1"/>
  <c r="M156" i="6"/>
  <c r="L63" i="4"/>
  <c r="F98" i="4"/>
  <c r="L98" i="4" s="1"/>
  <c r="L99" i="4"/>
  <c r="F175" i="4"/>
  <c r="L175" i="4" s="1"/>
  <c r="L176" i="4"/>
  <c r="F52" i="4"/>
  <c r="L52" i="4" s="1"/>
  <c r="L53" i="4"/>
  <c r="F130" i="4"/>
  <c r="L131" i="4"/>
  <c r="I172" i="4"/>
  <c r="M172" i="4"/>
  <c r="F111" i="4"/>
  <c r="L111" i="4" s="1"/>
  <c r="L112" i="4"/>
  <c r="I136" i="4"/>
  <c r="M136" i="4"/>
  <c r="L136" i="4"/>
  <c r="F135" i="4"/>
  <c r="L135" i="4" s="1"/>
  <c r="I93" i="4"/>
  <c r="M93" i="4"/>
  <c r="I165" i="4"/>
  <c r="M165" i="4"/>
  <c r="H92" i="4"/>
  <c r="N92" i="4" s="1"/>
  <c r="I154" i="6"/>
  <c r="N154" i="6" s="1"/>
  <c r="N155" i="6"/>
  <c r="I88" i="4"/>
  <c r="M88" i="4"/>
  <c r="J64" i="4"/>
  <c r="N64" i="4"/>
  <c r="I100" i="4"/>
  <c r="M100" i="4"/>
  <c r="J108" i="4"/>
  <c r="N108" i="4"/>
  <c r="J112" i="4"/>
  <c r="N112" i="4"/>
  <c r="J125" i="4"/>
  <c r="I27" i="4"/>
  <c r="M27" i="4"/>
  <c r="J54" i="4"/>
  <c r="N54" i="4"/>
  <c r="I79" i="4"/>
  <c r="I21" i="4"/>
  <c r="J44" i="4"/>
  <c r="I122" i="4"/>
  <c r="G135" i="4"/>
  <c r="M135" i="4" s="1"/>
  <c r="I144" i="4"/>
  <c r="H20" i="4"/>
  <c r="N20" i="4" s="1"/>
  <c r="J83" i="4"/>
  <c r="J68" i="4"/>
  <c r="J165" i="4"/>
  <c r="J34" i="4"/>
  <c r="J21" i="4"/>
  <c r="J172" i="4"/>
  <c r="J88" i="4"/>
  <c r="I83" i="4"/>
  <c r="F97" i="4"/>
  <c r="L97" i="4" s="1"/>
  <c r="J122" i="4"/>
  <c r="I44" i="4"/>
  <c r="I108" i="4"/>
  <c r="I64" i="4"/>
  <c r="J79" i="4"/>
  <c r="I176" i="4"/>
  <c r="J144" i="4"/>
  <c r="I125" i="4"/>
  <c r="F42" i="4"/>
  <c r="I68" i="4"/>
  <c r="I131" i="4"/>
  <c r="J131" i="4"/>
  <c r="I112" i="4"/>
  <c r="I34" i="4"/>
  <c r="I54" i="4"/>
  <c r="J27" i="4"/>
  <c r="J93" i="4"/>
  <c r="J100" i="4"/>
  <c r="G52" i="4"/>
  <c r="M52" i="4" s="1"/>
  <c r="F32" i="4"/>
  <c r="L32" i="4" s="1"/>
  <c r="F164" i="4"/>
  <c r="L164" i="4" s="1"/>
  <c r="G20" i="4"/>
  <c r="M20" i="4" s="1"/>
  <c r="H164" i="4"/>
  <c r="N164" i="4" s="1"/>
  <c r="G33" i="4"/>
  <c r="M33" i="4" s="1"/>
  <c r="H121" i="4"/>
  <c r="N121" i="4" s="1"/>
  <c r="H143" i="4"/>
  <c r="G43" i="4"/>
  <c r="M43" i="4" s="1"/>
  <c r="H33" i="4"/>
  <c r="N33" i="4" s="1"/>
  <c r="H25" i="4"/>
  <c r="N25" i="4" s="1"/>
  <c r="J156" i="6"/>
  <c r="O156" i="6" s="1"/>
  <c r="G175" i="4"/>
  <c r="M175" i="4" s="1"/>
  <c r="F26" i="4"/>
  <c r="F87" i="4"/>
  <c r="L87" i="4" s="1"/>
  <c r="H107" i="4"/>
  <c r="G111" i="4"/>
  <c r="M111" i="4" s="1"/>
  <c r="H91" i="4"/>
  <c r="N91" i="4" s="1"/>
  <c r="G92" i="4"/>
  <c r="G87" i="4"/>
  <c r="H43" i="4"/>
  <c r="N43" i="4" s="1"/>
  <c r="F92" i="4"/>
  <c r="L92" i="4" s="1"/>
  <c r="G171" i="4"/>
  <c r="F20" i="4"/>
  <c r="L20" i="4" s="1"/>
  <c r="F120" i="4"/>
  <c r="G130" i="4"/>
  <c r="M130" i="4" s="1"/>
  <c r="H111" i="4"/>
  <c r="N111" i="4" s="1"/>
  <c r="H53" i="4"/>
  <c r="G26" i="4"/>
  <c r="G164" i="4"/>
  <c r="G143" i="4"/>
  <c r="F79" i="4"/>
  <c r="L79" i="4" s="1"/>
  <c r="F169" i="4"/>
  <c r="L169" i="4" s="1"/>
  <c r="H67" i="4"/>
  <c r="F12" i="4"/>
  <c r="L12" i="4" s="1"/>
  <c r="H63" i="4"/>
  <c r="N63" i="4" s="1"/>
  <c r="G67" i="4"/>
  <c r="G121" i="4"/>
  <c r="M121" i="4" s="1"/>
  <c r="G99" i="4"/>
  <c r="H170" i="4"/>
  <c r="N170" i="4" s="1"/>
  <c r="H175" i="4"/>
  <c r="N175" i="4" s="1"/>
  <c r="M143" i="4" l="1"/>
  <c r="G142" i="4"/>
  <c r="M142" i="4" s="1"/>
  <c r="I171" i="4"/>
  <c r="M171" i="4"/>
  <c r="F41" i="4"/>
  <c r="L41" i="4" s="1"/>
  <c r="L42" i="4"/>
  <c r="F129" i="4"/>
  <c r="L129" i="4" s="1"/>
  <c r="L130" i="4"/>
  <c r="F62" i="4"/>
  <c r="I92" i="4"/>
  <c r="M92" i="4"/>
  <c r="I164" i="4"/>
  <c r="M164" i="4"/>
  <c r="F25" i="4"/>
  <c r="L25" i="4" s="1"/>
  <c r="L26" i="4"/>
  <c r="F119" i="4"/>
  <c r="L119" i="4" s="1"/>
  <c r="L120" i="4"/>
  <c r="H154" i="6"/>
  <c r="M154" i="6" s="1"/>
  <c r="M155" i="6"/>
  <c r="I87" i="4"/>
  <c r="M87" i="4"/>
  <c r="N67" i="4"/>
  <c r="H62" i="4"/>
  <c r="N62" i="4" s="1"/>
  <c r="G62" i="4"/>
  <c r="M62" i="4" s="1"/>
  <c r="M67" i="4"/>
  <c r="J99" i="4"/>
  <c r="M99" i="4"/>
  <c r="J107" i="4"/>
  <c r="N107" i="4"/>
  <c r="N143" i="4"/>
  <c r="H142" i="4"/>
  <c r="N142" i="4" s="1"/>
  <c r="I26" i="4"/>
  <c r="M26" i="4"/>
  <c r="I53" i="4"/>
  <c r="N53" i="4"/>
  <c r="J20" i="4"/>
  <c r="I135" i="4"/>
  <c r="J111" i="4"/>
  <c r="I121" i="4"/>
  <c r="I33" i="4"/>
  <c r="J26" i="4"/>
  <c r="J121" i="4"/>
  <c r="J87" i="4"/>
  <c r="J92" i="4"/>
  <c r="J67" i="4"/>
  <c r="H42" i="4"/>
  <c r="N42" i="4" s="1"/>
  <c r="J43" i="4"/>
  <c r="I111" i="4"/>
  <c r="H19" i="4"/>
  <c r="N19" i="4" s="1"/>
  <c r="G42" i="4"/>
  <c r="M42" i="4" s="1"/>
  <c r="I43" i="4"/>
  <c r="J164" i="4"/>
  <c r="J171" i="4"/>
  <c r="I99" i="4"/>
  <c r="G98" i="4"/>
  <c r="M98" i="4" s="1"/>
  <c r="I67" i="4"/>
  <c r="J63" i="4"/>
  <c r="I143" i="4"/>
  <c r="H52" i="4"/>
  <c r="J53" i="4"/>
  <c r="I175" i="4"/>
  <c r="J33" i="4"/>
  <c r="J143" i="4"/>
  <c r="I20" i="4"/>
  <c r="I107" i="4"/>
  <c r="I63" i="4"/>
  <c r="H98" i="4"/>
  <c r="F31" i="4"/>
  <c r="L31" i="4" s="1"/>
  <c r="F51" i="4"/>
  <c r="L51" i="4" s="1"/>
  <c r="F163" i="4"/>
  <c r="L163" i="4" s="1"/>
  <c r="H120" i="4"/>
  <c r="N120" i="4" s="1"/>
  <c r="G120" i="4"/>
  <c r="M120" i="4" s="1"/>
  <c r="H32" i="4"/>
  <c r="N32" i="4" s="1"/>
  <c r="G32" i="4"/>
  <c r="M32" i="4" s="1"/>
  <c r="G51" i="4"/>
  <c r="M51" i="4" s="1"/>
  <c r="H163" i="4"/>
  <c r="N163" i="4" s="1"/>
  <c r="G129" i="4"/>
  <c r="M129" i="4" s="1"/>
  <c r="G97" i="4"/>
  <c r="M97" i="4" s="1"/>
  <c r="F19" i="4"/>
  <c r="L19" i="4" s="1"/>
  <c r="F91" i="4"/>
  <c r="L91" i="4" s="1"/>
  <c r="G91" i="4"/>
  <c r="G170" i="4"/>
  <c r="G163" i="4"/>
  <c r="G25" i="4"/>
  <c r="H169" i="4"/>
  <c r="N169" i="4" s="1"/>
  <c r="H130" i="4"/>
  <c r="F11" i="4"/>
  <c r="J155" i="6"/>
  <c r="O155" i="6" s="1"/>
  <c r="I163" i="4" l="1"/>
  <c r="M163" i="4"/>
  <c r="J130" i="4"/>
  <c r="N130" i="4"/>
  <c r="I170" i="4"/>
  <c r="M170" i="4"/>
  <c r="I91" i="4"/>
  <c r="M91" i="4"/>
  <c r="J62" i="4"/>
  <c r="F61" i="4"/>
  <c r="L61" i="4" s="1"/>
  <c r="L62" i="4"/>
  <c r="J98" i="4"/>
  <c r="N98" i="4"/>
  <c r="I25" i="4"/>
  <c r="M25" i="4"/>
  <c r="J52" i="4"/>
  <c r="N52" i="4"/>
  <c r="I42" i="4"/>
  <c r="I142" i="4"/>
  <c r="I120" i="4"/>
  <c r="J163" i="4"/>
  <c r="I32" i="4"/>
  <c r="G19" i="4"/>
  <c r="I98" i="4"/>
  <c r="I52" i="4"/>
  <c r="J32" i="4"/>
  <c r="J170" i="4"/>
  <c r="J25" i="4"/>
  <c r="J42" i="4"/>
  <c r="H97" i="4"/>
  <c r="J120" i="4"/>
  <c r="J142" i="4"/>
  <c r="I130" i="4"/>
  <c r="J91" i="4"/>
  <c r="I62" i="4"/>
  <c r="F30" i="4"/>
  <c r="L30" i="4" s="1"/>
  <c r="N11" i="4"/>
  <c r="H10" i="4"/>
  <c r="G41" i="4"/>
  <c r="M41" i="4" s="1"/>
  <c r="H31" i="4"/>
  <c r="N31" i="4" s="1"/>
  <c r="H51" i="4"/>
  <c r="H129" i="4"/>
  <c r="G31" i="4"/>
  <c r="M31" i="4" s="1"/>
  <c r="G119" i="4"/>
  <c r="M119" i="4" s="1"/>
  <c r="H119" i="4"/>
  <c r="H41" i="4"/>
  <c r="G169" i="4"/>
  <c r="L11" i="4"/>
  <c r="F10" i="4"/>
  <c r="L10" i="4" s="1"/>
  <c r="G61" i="4"/>
  <c r="M61" i="4" s="1"/>
  <c r="H61" i="4"/>
  <c r="N61" i="4" s="1"/>
  <c r="J154" i="6"/>
  <c r="O154" i="6" s="1"/>
  <c r="J129" i="4" l="1"/>
  <c r="N129" i="4"/>
  <c r="I169" i="4"/>
  <c r="M169" i="4"/>
  <c r="J41" i="4"/>
  <c r="N41" i="4"/>
  <c r="J97" i="4"/>
  <c r="N97" i="4"/>
  <c r="J119" i="4"/>
  <c r="N119" i="4"/>
  <c r="I31" i="4"/>
  <c r="I19" i="4"/>
  <c r="M19" i="4"/>
  <c r="J51" i="4"/>
  <c r="N51" i="4"/>
  <c r="J19" i="4"/>
  <c r="J61" i="4"/>
  <c r="I41" i="4"/>
  <c r="I129" i="4"/>
  <c r="I61" i="4"/>
  <c r="I119" i="4"/>
  <c r="J31" i="4"/>
  <c r="I51" i="4"/>
  <c r="J169" i="4"/>
  <c r="I97" i="4"/>
  <c r="N10" i="4"/>
  <c r="H30" i="4"/>
  <c r="N30" i="4" s="1"/>
  <c r="G30" i="4"/>
  <c r="M30" i="4" s="1"/>
  <c r="G10" i="4"/>
  <c r="I10" i="4" s="1"/>
  <c r="F180" i="4"/>
  <c r="F184" i="4" s="1"/>
  <c r="M11" i="4"/>
  <c r="I12" i="8"/>
  <c r="J10" i="4" l="1"/>
  <c r="I30" i="4"/>
  <c r="H180" i="4"/>
  <c r="H184" i="4" s="1"/>
  <c r="H186" i="4" s="1"/>
  <c r="J30" i="4"/>
  <c r="G180" i="4"/>
  <c r="M10" i="4"/>
  <c r="N19" i="3"/>
  <c r="N48" i="3"/>
  <c r="G31" i="8"/>
  <c r="G29" i="8"/>
  <c r="F28" i="8"/>
  <c r="I28" i="8"/>
  <c r="D28" i="8"/>
  <c r="G26" i="8"/>
  <c r="G23" i="8"/>
  <c r="D22" i="8"/>
  <c r="F22" i="8"/>
  <c r="J22" i="8" s="1"/>
  <c r="G21" i="8"/>
  <c r="D19" i="8"/>
  <c r="G20" i="8"/>
  <c r="F19" i="8"/>
  <c r="J19" i="8" s="1"/>
  <c r="G18" i="8"/>
  <c r="I17" i="8"/>
  <c r="D17" i="8"/>
  <c r="F17" i="8"/>
  <c r="J17" i="8" s="1"/>
  <c r="G16" i="8"/>
  <c r="G15" i="8"/>
  <c r="E11" i="8"/>
  <c r="G12" i="8"/>
  <c r="D11" i="8"/>
  <c r="I152" i="6"/>
  <c r="N152" i="6" s="1"/>
  <c r="H152" i="6"/>
  <c r="M152" i="6" s="1"/>
  <c r="J145" i="6"/>
  <c r="O145" i="6" s="1"/>
  <c r="I145" i="6"/>
  <c r="N145" i="6" s="1"/>
  <c r="H145" i="6"/>
  <c r="M145" i="6" s="1"/>
  <c r="J141" i="6"/>
  <c r="O141" i="6" s="1"/>
  <c r="I141" i="6"/>
  <c r="N141" i="6" s="1"/>
  <c r="H141" i="6"/>
  <c r="J117" i="6"/>
  <c r="O117" i="6" s="1"/>
  <c r="J113" i="6"/>
  <c r="I113" i="6"/>
  <c r="H113" i="6"/>
  <c r="M113" i="6" s="1"/>
  <c r="J103" i="6"/>
  <c r="O103" i="6" s="1"/>
  <c r="H97" i="6"/>
  <c r="M97" i="6" s="1"/>
  <c r="J79" i="6"/>
  <c r="H80" i="6"/>
  <c r="J75" i="6"/>
  <c r="O75" i="6" s="1"/>
  <c r="I75" i="6"/>
  <c r="N75" i="6" s="1"/>
  <c r="H75" i="6"/>
  <c r="M75" i="6" s="1"/>
  <c r="H71" i="6"/>
  <c r="M71" i="6" s="1"/>
  <c r="J56" i="6"/>
  <c r="O56" i="6" s="1"/>
  <c r="I56" i="6"/>
  <c r="N56" i="6" s="1"/>
  <c r="H56" i="6"/>
  <c r="M56" i="6" s="1"/>
  <c r="I21" i="6"/>
  <c r="N21" i="6" s="1"/>
  <c r="H15" i="6"/>
  <c r="M15" i="6" s="1"/>
  <c r="H14" i="6"/>
  <c r="M14" i="6" s="1"/>
  <c r="N49" i="3"/>
  <c r="P44" i="3"/>
  <c r="P43" i="3"/>
  <c r="P42" i="3"/>
  <c r="N42" i="3"/>
  <c r="P41" i="3"/>
  <c r="N41" i="3"/>
  <c r="P40" i="3"/>
  <c r="P39" i="3"/>
  <c r="P50" i="3"/>
  <c r="N38" i="3"/>
  <c r="P37" i="3"/>
  <c r="N37" i="3"/>
  <c r="P36" i="3"/>
  <c r="M35" i="3"/>
  <c r="M34" i="3" s="1"/>
  <c r="K35" i="3"/>
  <c r="K34" i="3" s="1"/>
  <c r="P31" i="3"/>
  <c r="P30" i="3"/>
  <c r="P27" i="3"/>
  <c r="N27" i="3"/>
  <c r="P26" i="3"/>
  <c r="N26" i="3"/>
  <c r="P25" i="3"/>
  <c r="N25" i="3"/>
  <c r="P24" i="3"/>
  <c r="N24" i="3"/>
  <c r="P23" i="3"/>
  <c r="N23" i="3"/>
  <c r="P22" i="3"/>
  <c r="L21" i="3"/>
  <c r="K21" i="3"/>
  <c r="P20" i="3"/>
  <c r="N20" i="3"/>
  <c r="P18" i="3"/>
  <c r="N18" i="3"/>
  <c r="P17" i="3"/>
  <c r="N17" i="3"/>
  <c r="P16" i="3"/>
  <c r="N16" i="3"/>
  <c r="P15" i="3"/>
  <c r="N15" i="3"/>
  <c r="P14" i="3"/>
  <c r="M13" i="3"/>
  <c r="M11" i="3" s="1"/>
  <c r="L13" i="3"/>
  <c r="L11" i="3" s="1"/>
  <c r="K13" i="3"/>
  <c r="P12" i="3"/>
  <c r="N12" i="3"/>
  <c r="M18" i="9"/>
  <c r="M19" i="9" s="1"/>
  <c r="M20" i="9" s="1"/>
  <c r="M16" i="9"/>
  <c r="M34" i="9" s="1"/>
  <c r="H79" i="6" l="1"/>
  <c r="M79" i="6" s="1"/>
  <c r="M80" i="6"/>
  <c r="H140" i="6"/>
  <c r="M140" i="6" s="1"/>
  <c r="M141" i="6"/>
  <c r="J112" i="6"/>
  <c r="O112" i="6" s="1"/>
  <c r="O113" i="6"/>
  <c r="N43" i="3"/>
  <c r="I112" i="6"/>
  <c r="N112" i="6" s="1"/>
  <c r="N113" i="6"/>
  <c r="K79" i="6"/>
  <c r="O79" i="6"/>
  <c r="E33" i="8"/>
  <c r="I33" i="8" s="1"/>
  <c r="K141" i="6"/>
  <c r="K11" i="3"/>
  <c r="K55" i="3" s="1"/>
  <c r="H13" i="6"/>
  <c r="M13" i="6" s="1"/>
  <c r="K75" i="6"/>
  <c r="J102" i="6"/>
  <c r="O102" i="6" s="1"/>
  <c r="K56" i="6"/>
  <c r="K145" i="6"/>
  <c r="H60" i="6"/>
  <c r="J116" i="6"/>
  <c r="I180" i="4"/>
  <c r="H96" i="6"/>
  <c r="M96" i="6" s="1"/>
  <c r="J55" i="6"/>
  <c r="O55" i="6" s="1"/>
  <c r="P35" i="3"/>
  <c r="N35" i="3"/>
  <c r="F33" i="8"/>
  <c r="J33" i="8" s="1"/>
  <c r="J25" i="8"/>
  <c r="J140" i="6"/>
  <c r="O140" i="6" s="1"/>
  <c r="G28" i="8"/>
  <c r="J28" i="8"/>
  <c r="J144" i="6"/>
  <c r="O144" i="6" s="1"/>
  <c r="I151" i="6"/>
  <c r="N151" i="6" s="1"/>
  <c r="J78" i="6"/>
  <c r="O78" i="6" s="1"/>
  <c r="J74" i="6"/>
  <c r="O74" i="6" s="1"/>
  <c r="G184" i="4"/>
  <c r="G186" i="4" s="1"/>
  <c r="J180" i="4"/>
  <c r="G25" i="8"/>
  <c r="G13" i="8"/>
  <c r="G19" i="8"/>
  <c r="I144" i="6"/>
  <c r="G22" i="8"/>
  <c r="G17" i="8"/>
  <c r="H55" i="6"/>
  <c r="M55" i="6" s="1"/>
  <c r="H78" i="6"/>
  <c r="M78" i="6" s="1"/>
  <c r="H151" i="6"/>
  <c r="J152" i="6"/>
  <c r="H28" i="6"/>
  <c r="M28" i="6" s="1"/>
  <c r="H74" i="6"/>
  <c r="M74" i="6" s="1"/>
  <c r="I74" i="6"/>
  <c r="N74" i="6" s="1"/>
  <c r="H112" i="6"/>
  <c r="M112" i="6" s="1"/>
  <c r="I140" i="6"/>
  <c r="N140" i="6" s="1"/>
  <c r="I20" i="6"/>
  <c r="N20" i="6" s="1"/>
  <c r="H144" i="6"/>
  <c r="M144" i="6" s="1"/>
  <c r="N13" i="3"/>
  <c r="N39" i="3"/>
  <c r="P13" i="3"/>
  <c r="D33" i="8"/>
  <c r="G11" i="8"/>
  <c r="G14" i="8"/>
  <c r="G30" i="8"/>
  <c r="H139" i="6"/>
  <c r="M139" i="6" s="1"/>
  <c r="I55" i="6"/>
  <c r="N55" i="6" s="1"/>
  <c r="P21" i="3"/>
  <c r="M55" i="3"/>
  <c r="M58" i="3" s="1"/>
  <c r="M59" i="3" s="1"/>
  <c r="N21" i="3"/>
  <c r="H59" i="6" l="1"/>
  <c r="M60" i="6"/>
  <c r="J143" i="6"/>
  <c r="H150" i="6"/>
  <c r="M150" i="6" s="1"/>
  <c r="M151" i="6"/>
  <c r="I143" i="6"/>
  <c r="N143" i="6" s="1"/>
  <c r="N144" i="6"/>
  <c r="I116" i="6"/>
  <c r="K116" i="6" s="1"/>
  <c r="N117" i="6"/>
  <c r="J115" i="6"/>
  <c r="O115" i="6" s="1"/>
  <c r="O116" i="6"/>
  <c r="K152" i="6"/>
  <c r="O152" i="6"/>
  <c r="J77" i="6"/>
  <c r="K78" i="6"/>
  <c r="K117" i="6"/>
  <c r="K140" i="6"/>
  <c r="K144" i="6"/>
  <c r="K55" i="6"/>
  <c r="K74" i="6"/>
  <c r="I88" i="6"/>
  <c r="H88" i="6"/>
  <c r="M88" i="6" s="1"/>
  <c r="H54" i="6"/>
  <c r="L55" i="3"/>
  <c r="L58" i="3" s="1"/>
  <c r="L59" i="3" s="1"/>
  <c r="K58" i="3"/>
  <c r="F186" i="4" s="1"/>
  <c r="J21" i="6"/>
  <c r="J139" i="6"/>
  <c r="O139" i="6" s="1"/>
  <c r="J54" i="6"/>
  <c r="O54" i="6" s="1"/>
  <c r="I150" i="6"/>
  <c r="N150" i="6" s="1"/>
  <c r="N59" i="6"/>
  <c r="N11" i="3"/>
  <c r="H12" i="6"/>
  <c r="M12" i="6" s="1"/>
  <c r="H143" i="6"/>
  <c r="M143" i="6" s="1"/>
  <c r="I139" i="6"/>
  <c r="N139" i="6" s="1"/>
  <c r="H27" i="6"/>
  <c r="M27" i="6" s="1"/>
  <c r="H77" i="6"/>
  <c r="M77" i="6" s="1"/>
  <c r="I104" i="6"/>
  <c r="J151" i="6"/>
  <c r="P11" i="3"/>
  <c r="Q11" i="3" s="1"/>
  <c r="G33" i="8"/>
  <c r="I54" i="6"/>
  <c r="N54" i="6" s="1"/>
  <c r="H103" i="6"/>
  <c r="H138" i="6"/>
  <c r="M138" i="6" s="1"/>
  <c r="N34" i="3"/>
  <c r="P34" i="3"/>
  <c r="H102" i="6" l="1"/>
  <c r="M102" i="6" s="1"/>
  <c r="M103" i="6"/>
  <c r="H53" i="6"/>
  <c r="M54" i="6"/>
  <c r="K143" i="6"/>
  <c r="O143" i="6"/>
  <c r="H149" i="6"/>
  <c r="M149" i="6" s="1"/>
  <c r="K88" i="6"/>
  <c r="N88" i="6"/>
  <c r="H58" i="6"/>
  <c r="M58" i="6" s="1"/>
  <c r="M59" i="6"/>
  <c r="I115" i="6"/>
  <c r="N115" i="6" s="1"/>
  <c r="N116" i="6"/>
  <c r="K104" i="6"/>
  <c r="N104" i="6"/>
  <c r="K77" i="6"/>
  <c r="O77" i="6"/>
  <c r="K151" i="6"/>
  <c r="O151" i="6"/>
  <c r="K21" i="6"/>
  <c r="O21" i="6"/>
  <c r="K54" i="6"/>
  <c r="K59" i="6"/>
  <c r="K139" i="6"/>
  <c r="H11" i="6"/>
  <c r="M11" i="6" s="1"/>
  <c r="J138" i="6"/>
  <c r="O138" i="6" s="1"/>
  <c r="J20" i="6"/>
  <c r="J53" i="6"/>
  <c r="O53" i="6" s="1"/>
  <c r="I149" i="6"/>
  <c r="N149" i="6" s="1"/>
  <c r="I103" i="6"/>
  <c r="N103" i="6" s="1"/>
  <c r="I138" i="6"/>
  <c r="N138" i="6" s="1"/>
  <c r="N12" i="6"/>
  <c r="H148" i="6"/>
  <c r="M148" i="6" s="1"/>
  <c r="J150" i="6"/>
  <c r="H137" i="6"/>
  <c r="M137" i="6" s="1"/>
  <c r="I53" i="6"/>
  <c r="N53" i="6" s="1"/>
  <c r="P55" i="3"/>
  <c r="N55" i="3"/>
  <c r="K115" i="6" l="1"/>
  <c r="M53" i="6"/>
  <c r="H52" i="6"/>
  <c r="M52" i="6" s="1"/>
  <c r="K58" i="6"/>
  <c r="N58" i="6"/>
  <c r="K150" i="6"/>
  <c r="O150" i="6"/>
  <c r="K20" i="6"/>
  <c r="O20" i="6"/>
  <c r="K53" i="6"/>
  <c r="I102" i="6"/>
  <c r="K103" i="6"/>
  <c r="K138" i="6"/>
  <c r="J137" i="6"/>
  <c r="O137" i="6" s="1"/>
  <c r="J52" i="6"/>
  <c r="O52" i="6" s="1"/>
  <c r="I148" i="6"/>
  <c r="N148" i="6" s="1"/>
  <c r="I137" i="6"/>
  <c r="N137" i="6" s="1"/>
  <c r="H147" i="6"/>
  <c r="M147" i="6" s="1"/>
  <c r="K11" i="6"/>
  <c r="N11" i="6"/>
  <c r="J149" i="6"/>
  <c r="I52" i="6"/>
  <c r="N52" i="6" s="1"/>
  <c r="H10" i="6"/>
  <c r="H9" i="6" s="1"/>
  <c r="H136" i="6"/>
  <c r="M136" i="6" s="1"/>
  <c r="P58" i="6"/>
  <c r="K102" i="6" l="1"/>
  <c r="N102" i="6"/>
  <c r="K149" i="6"/>
  <c r="O149" i="6"/>
  <c r="J136" i="6"/>
  <c r="O136" i="6" s="1"/>
  <c r="K137" i="6"/>
  <c r="K52" i="6"/>
  <c r="I136" i="6"/>
  <c r="N136" i="6" s="1"/>
  <c r="I10" i="6"/>
  <c r="J10" i="6"/>
  <c r="J9" i="6" s="1"/>
  <c r="I147" i="6"/>
  <c r="N147" i="6" s="1"/>
  <c r="J148" i="6"/>
  <c r="O148" i="6" s="1"/>
  <c r="H159" i="6"/>
  <c r="M159" i="6" s="1"/>
  <c r="J159" i="6" l="1"/>
  <c r="J147" i="6"/>
  <c r="K148" i="6"/>
  <c r="K136" i="6"/>
  <c r="K10" i="6"/>
  <c r="K147" i="6" l="1"/>
  <c r="O147" i="6"/>
  <c r="J162" i="6"/>
  <c r="J163" i="6" s="1"/>
  <c r="F36" i="8"/>
  <c r="F38" i="8" s="1"/>
  <c r="D36" i="8" l="1"/>
  <c r="D38" i="8" s="1"/>
  <c r="E36" i="8" l="1"/>
  <c r="E38" i="8" s="1"/>
  <c r="O12" i="6" l="1"/>
  <c r="H162" i="6" l="1"/>
  <c r="H163" i="6" s="1"/>
  <c r="O159" i="6" l="1"/>
  <c r="I9" i="6" l="1"/>
  <c r="I159" i="6" s="1"/>
  <c r="K9" i="6" l="1"/>
  <c r="N159" i="6" l="1"/>
  <c r="K159" i="6"/>
  <c r="I162" i="6"/>
  <c r="I163" i="6" s="1"/>
</calcChain>
</file>

<file path=xl/sharedStrings.xml><?xml version="1.0" encoding="utf-8"?>
<sst xmlns="http://schemas.openxmlformats.org/spreadsheetml/2006/main" count="1887" uniqueCount="521">
  <si>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</si>
  <si>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</si>
  <si>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Наименование кода бюджетной классификации</t>
  </si>
  <si>
    <t>Код главного администратора</t>
  </si>
  <si>
    <t>11105025100000120</t>
  </si>
  <si>
    <t>11105035100000120</t>
  </si>
  <si>
    <t>11701050100000180</t>
  </si>
  <si>
    <t>11705050100000180</t>
  </si>
  <si>
    <t>Администрация Казанцевского сельсовета</t>
  </si>
  <si>
    <t>10804020011000110</t>
  </si>
  <si>
    <t xml:space="preserve">ИТОГО </t>
  </si>
  <si>
    <t>Единый сельскохозяйственный налог</t>
  </si>
  <si>
    <t>Налог на доходы физических лиц</t>
  </si>
  <si>
    <t>Наименование главных распорядителей, получателей бюджетных средств и наименование показателей бюджетной классификации</t>
  </si>
  <si>
    <t>Раздел  Подраздел</t>
  </si>
  <si>
    <t>Целевая статья</t>
  </si>
  <si>
    <t>Вид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</si>
  <si>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</si>
  <si>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</si>
  <si>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</si>
  <si>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</si>
  <si>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</t>
  </si>
  <si>
    <t>000</t>
  </si>
  <si>
    <t>Код ведомства</t>
  </si>
  <si>
    <t>0100</t>
  </si>
  <si>
    <t>0102</t>
  </si>
  <si>
    <t>0103</t>
  </si>
  <si>
    <t>0104</t>
  </si>
  <si>
    <t>0801</t>
  </si>
  <si>
    <t>0203</t>
  </si>
  <si>
    <t>0500</t>
  </si>
  <si>
    <t>0503</t>
  </si>
  <si>
    <t>Заработная плата</t>
  </si>
  <si>
    <t>Услуги связи</t>
  </si>
  <si>
    <t>Коммунальные услуги</t>
  </si>
  <si>
    <t>Увеличение стоимости основных средств</t>
  </si>
  <si>
    <t>Статья</t>
  </si>
  <si>
    <t>211</t>
  </si>
  <si>
    <t>213</t>
  </si>
  <si>
    <t>Начисления на оплату труда</t>
  </si>
  <si>
    <t>340</t>
  </si>
  <si>
    <t>221</t>
  </si>
  <si>
    <t>223</t>
  </si>
  <si>
    <t>Услуги по содержанию имущества</t>
  </si>
  <si>
    <t>225</t>
  </si>
  <si>
    <t>Прочие услуги</t>
  </si>
  <si>
    <t>226</t>
  </si>
  <si>
    <t>Транспортные услуги</t>
  </si>
  <si>
    <t>222</t>
  </si>
  <si>
    <t>310</t>
  </si>
  <si>
    <t>Резервные фонды местных администраций</t>
  </si>
  <si>
    <t>№ п/п</t>
  </si>
  <si>
    <t>Увеличение стоимости материальных запасов</t>
  </si>
  <si>
    <t>№ строки</t>
  </si>
  <si>
    <t>Налог на имущество физических лиц</t>
  </si>
  <si>
    <t>Земельный налог</t>
  </si>
  <si>
    <t>Иные межбюджетные трансферты</t>
  </si>
  <si>
    <t>0113</t>
  </si>
  <si>
    <t>0409</t>
  </si>
  <si>
    <t>11402053100000410</t>
  </si>
  <si>
    <t>11406025100000430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</si>
  <si>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</si>
  <si>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</si>
  <si>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</si>
  <si>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</si>
  <si>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</si>
  <si>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Обеспечение деятельности административных комиссий</t>
  </si>
  <si>
    <t>121</t>
  </si>
  <si>
    <t>244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</si>
  <si>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</si>
  <si>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</si>
  <si>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Закупка товаров, работ и услуг для государственных (муниципальных) нужд</t>
  </si>
  <si>
    <t>200</t>
  </si>
  <si>
    <t>240</t>
  </si>
  <si>
    <t>120</t>
  </si>
  <si>
    <t>(тыс.руб.)</t>
  </si>
  <si>
    <t>Непрограммные расходы</t>
  </si>
  <si>
    <t>Мероприятие "Сохранение и развитие автомобильных дорог общего пользования местного значения, находящихся в границах населённых пунктов муниципального образования «Казанцевский сельсовет»"</t>
  </si>
  <si>
    <t>Мероприятие "Комплексное решение проблем благоустройства, приведение освещенности в соответствие с требованиями, предъявляемыми к уровню наружного освещения мест общего пользования и увеличение протяженности освещенных улиц, дорог, создание условий для комфортного и безопасного проживания  жителей"</t>
  </si>
  <si>
    <t>Передача отдельных полномочий по исполнению бюджета</t>
  </si>
  <si>
    <t>540</t>
  </si>
  <si>
    <t>251</t>
  </si>
  <si>
    <t>10804020014000110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</si>
  <si>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(прочие поступления)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</si>
  <si>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</si>
  <si>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</si>
  <si>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</si>
  <si>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</si>
  <si>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неналоговые доходы бюджетов сельских поселений</t>
  </si>
  <si>
    <t>Код классификации доходов бюджета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</si>
  <si>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</si>
  <si>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</si>
  <si>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</si>
  <si>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</si>
  <si>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</si>
  <si>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</si>
  <si>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</si>
  <si>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</si>
  <si>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</si>
  <si>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НАЛОГОВЫЕ И НЕНАЛОГОВЫЕ ДОХОДЫ</t>
  </si>
  <si>
    <t>1</t>
  </si>
  <si>
    <t>00</t>
  </si>
  <si>
    <t>0000</t>
  </si>
  <si>
    <t>182</t>
  </si>
  <si>
    <t>01</t>
  </si>
  <si>
    <t>02</t>
  </si>
  <si>
    <t>110</t>
  </si>
  <si>
    <t>0505</t>
  </si>
  <si>
    <t>03</t>
  </si>
  <si>
    <t>05</t>
  </si>
  <si>
    <t>06</t>
  </si>
  <si>
    <t>в том числе:</t>
  </si>
  <si>
    <t>3.1</t>
  </si>
  <si>
    <t>3.2</t>
  </si>
  <si>
    <t>3.3</t>
  </si>
  <si>
    <t>3.4</t>
  </si>
  <si>
    <t>6.1</t>
  </si>
  <si>
    <t>6.2</t>
  </si>
  <si>
    <t>033</t>
  </si>
  <si>
    <t>10</t>
  </si>
  <si>
    <t>043</t>
  </si>
  <si>
    <t>08</t>
  </si>
  <si>
    <t>04</t>
  </si>
  <si>
    <t>020</t>
  </si>
  <si>
    <t>1000</t>
  </si>
  <si>
    <t>11</t>
  </si>
  <si>
    <t>351</t>
  </si>
  <si>
    <t>2</t>
  </si>
  <si>
    <t>БЕЗВОЗМЕЗДНЫЕ ПОСТУПЛЕНИЯ</t>
  </si>
  <si>
    <t>807</t>
  </si>
  <si>
    <t>001</t>
  </si>
  <si>
    <t>999</t>
  </si>
  <si>
    <t>024</t>
  </si>
  <si>
    <t>Всего</t>
  </si>
  <si>
    <t>16.1</t>
  </si>
  <si>
    <t>14</t>
  </si>
  <si>
    <t>053</t>
  </si>
  <si>
    <t>410</t>
  </si>
  <si>
    <t>025</t>
  </si>
  <si>
    <t>430</t>
  </si>
  <si>
    <t>Непрограммные расходы представительного органа</t>
  </si>
  <si>
    <t>Глава муниципального образования в рамках непрограммных расходов представительного органа</t>
  </si>
  <si>
    <t xml:space="preserve">Функционирование Совета депутатов Казанцевского сельсовета </t>
  </si>
  <si>
    <t>Непрограммные расходы Администрации Казанцевского сельсовета</t>
  </si>
  <si>
    <t>Другие общегосударственные вопросы</t>
  </si>
  <si>
    <t>Непрограммные расходы администрации Казанцевского сельсовета</t>
  </si>
  <si>
    <t>НАЦИОНАЛЬНАЯ ОБОРОНА</t>
  </si>
  <si>
    <t>0200</t>
  </si>
  <si>
    <t>Мобилизационная и вневойсковая подготовка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</si>
  <si>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</si>
  <si>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</si>
  <si>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</si>
  <si>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</si>
  <si>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</si>
  <si>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</si>
  <si>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/>
  </si>
  <si>
    <t>Мероприятие «Капитальный ремонт и восстановление дорожных покрытий»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</si>
  <si>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</si>
  <si>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</si>
  <si>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 в рамках непрограммных расходов администрации Казанцевского сельсовета</t>
  </si>
  <si>
    <t xml:space="preserve">Осуществление расходов по созданию и обеспечению деятельности административных комиссий 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</si>
  <si>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Казанцевского сельсовета</t>
  </si>
  <si>
    <t>500</t>
  </si>
  <si>
    <t>Межбюджетные трансферты</t>
  </si>
  <si>
    <t>850</t>
  </si>
  <si>
    <t>Уплата налогов, сборов и иных платежей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</si>
  <si>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 платежу, в том числе по отмененному)</t>
  </si>
  <si>
    <t>7514</t>
  </si>
  <si>
    <t>6100080210</t>
  </si>
  <si>
    <t>6200080220</t>
  </si>
  <si>
    <t>6300080210</t>
  </si>
  <si>
    <t>6300080620</t>
  </si>
  <si>
    <t>129</t>
  </si>
  <si>
    <t>853</t>
  </si>
  <si>
    <t>0200000000</t>
  </si>
  <si>
    <t>6400075140</t>
  </si>
  <si>
    <t>6400051180</t>
  </si>
  <si>
    <t>122</t>
  </si>
  <si>
    <t>0110080010</t>
  </si>
  <si>
    <t>0100000000</t>
  </si>
  <si>
    <t>0120080000</t>
  </si>
  <si>
    <t>0120080010</t>
  </si>
  <si>
    <t>0120080020</t>
  </si>
  <si>
    <t>0110000000</t>
  </si>
  <si>
    <t>0120000000</t>
  </si>
  <si>
    <t>7412</t>
  </si>
  <si>
    <t>НАЦИОНАЛЬНАЯ БЕЗОПАСНОСТЬ И ПРАВООХРАНИТЕЛЬНАЯ ДЕЯТЕЛЬНОСТЬ</t>
  </si>
  <si>
    <t>0310</t>
  </si>
  <si>
    <t>СОЦИАЛЬНОЕ ОБЕСПЕЧЕНИЕ</t>
  </si>
  <si>
    <t>Социальные выплаты гражданам</t>
  </si>
  <si>
    <t>Пособие по социальной помощи населению</t>
  </si>
  <si>
    <t>6400091190</t>
  </si>
  <si>
    <t>300</t>
  </si>
  <si>
    <t>360</t>
  </si>
  <si>
    <t>262</t>
  </si>
  <si>
    <t>0300</t>
  </si>
  <si>
    <t>0210000000</t>
  </si>
  <si>
    <t>831</t>
  </si>
  <si>
    <t>15</t>
  </si>
  <si>
    <t>30</t>
  </si>
  <si>
    <t>49</t>
  </si>
  <si>
    <t>40</t>
  </si>
  <si>
    <t>9135</t>
  </si>
  <si>
    <t>Доходы бюджетов сельских поселений от возврата бюджетными учреждениями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</si>
  <si>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</si>
  <si>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</si>
  <si>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Сохранение протяженности, соответствующей нормативным требованиям, внутрипоселковых автомобильных дорог за счет проведения капитального ремонта и восстановления дорожных покрытий в рамках мероприятия «Капитальный ремонт и восстановление дорожных покрытий»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</si>
  <si>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>Мероприятие "Обеспечение противопожарной безопасности"</t>
  </si>
  <si>
    <t>227</t>
  </si>
  <si>
    <t>Страхование</t>
  </si>
  <si>
    <t>296</t>
  </si>
  <si>
    <t>Иные расходы</t>
  </si>
  <si>
    <t>Культура</t>
  </si>
  <si>
    <t>Непрограммные расходы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</si>
  <si>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>6400000000</t>
  </si>
  <si>
    <t>Функционирование учреждений культуры</t>
  </si>
  <si>
    <t>Межбюджетные трансферты на частичное возмещение расходов по созданию условий для организации досуга и обеспечения жителей поселения услугами организаций культуры</t>
  </si>
  <si>
    <t xml:space="preserve">Межбюджетные трансферты </t>
  </si>
  <si>
    <t>Резервные фонды</t>
  </si>
  <si>
    <t>0111</t>
  </si>
  <si>
    <t>Повышение эффективности деятельности
Администрации Казанцевского сельсовета</t>
  </si>
  <si>
    <t>Формирование и использование средств резервных
фондов</t>
  </si>
  <si>
    <t>Иные бюджетные ассигнования</t>
  </si>
  <si>
    <t>Резервные средства</t>
  </si>
  <si>
    <t>Функционирование Администрации Казанцевского сельсовета</t>
  </si>
  <si>
    <t>6400080220</t>
  </si>
  <si>
    <t>0800</t>
  </si>
  <si>
    <t>800</t>
  </si>
  <si>
    <t>870</t>
  </si>
  <si>
    <t>6400080000</t>
  </si>
  <si>
    <t>Софинансирование. Услуги по содержанию имущества</t>
  </si>
  <si>
    <t>Другие вопросы в области национальной безопасности и правоохранительной деятельности</t>
  </si>
  <si>
    <t>0314</t>
  </si>
  <si>
    <t>6300080220</t>
  </si>
  <si>
    <t>Штрафы</t>
  </si>
  <si>
    <t>02100S4120</t>
  </si>
  <si>
    <t>7601</t>
  </si>
  <si>
    <t xml:space="preserve">Доплаты к пенсиям государственных служащих субъектов Российской Федерации и муниципальных служащих </t>
  </si>
  <si>
    <t>Пенсия за выслугу лет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</si>
  <si>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</si>
  <si>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</si>
  <si>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</si>
  <si>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1001</t>
  </si>
  <si>
    <t>6300000000</t>
  </si>
  <si>
    <t>Социальное обеспечение и иные выплаты населению</t>
  </si>
  <si>
    <t>20215001109134150</t>
  </si>
  <si>
    <t>20215001107601150</t>
  </si>
  <si>
    <t>20235118100000150</t>
  </si>
  <si>
    <t>20230024107514150</t>
  </si>
  <si>
    <t>20249999109135150</t>
  </si>
  <si>
    <t>20249999109119150</t>
  </si>
  <si>
    <t>21805010100000150</t>
  </si>
  <si>
    <t>21960010100000150</t>
  </si>
  <si>
    <t>20229999107412150</t>
  </si>
  <si>
    <t>20229999107509150</t>
  </si>
  <si>
    <t>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</si>
  <si>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</si>
  <si>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</si>
  <si>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231</t>
  </si>
  <si>
    <t>241</t>
  </si>
  <si>
    <t>261</t>
  </si>
  <si>
    <t>264</t>
  </si>
  <si>
    <t>0412</t>
  </si>
  <si>
    <t>6400080210</t>
  </si>
  <si>
    <t>Другие вопросы в области национальной экономики</t>
  </si>
  <si>
    <t>6400080230</t>
  </si>
  <si>
    <t>11302995100000130</t>
  </si>
  <si>
    <t>Прочие доходы от компенсаций затрат бюджетов сельских поселений</t>
  </si>
  <si>
    <t>13</t>
  </si>
  <si>
    <t>995</t>
  </si>
  <si>
    <t>130</t>
  </si>
  <si>
    <t>6100000000</t>
  </si>
  <si>
    <t>6200000000</t>
  </si>
  <si>
    <t>Социальные выплаты</t>
  </si>
  <si>
    <t>266</t>
  </si>
  <si>
    <t>295</t>
  </si>
  <si>
    <t>Налоги, пошлины, сборы, санкции</t>
  </si>
  <si>
    <t>Расходы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</si>
  <si>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Процент исполнения</t>
  </si>
  <si>
    <t>(тыс. рублей)</t>
  </si>
  <si>
    <t>Наименование показателя бюджетной классификации</t>
  </si>
  <si>
    <t>Раздел-подраздел</t>
  </si>
  <si>
    <t>3</t>
  </si>
  <si>
    <t>4</t>
  </si>
  <si>
    <t>5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</si>
  <si>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</si>
  <si>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</si>
  <si>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Обеспечение пожарной безопасности</t>
  </si>
  <si>
    <t>СОЦИАЛЬНОЕ ОБЕСПЕЧЕНИЕ НАСЕЛЕНИЯ</t>
  </si>
  <si>
    <t>ВСЕГО</t>
  </si>
  <si>
    <t>6</t>
  </si>
  <si>
    <t>Предоставление дотаций на выравнивание бюджетной обеспеченности поселений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</si>
  <si>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Предоставление дотаций на выравнивание бюджетной обеспеченности поселений района 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</si>
  <si>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</si>
  <si>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 (Выполнение государственных полномочий по созданию и обеспечению деятельности административных комиссий в рамках непрограммных расходов финансового управления администрации Шушенского района)</t>
  </si>
  <si>
    <t>Предоставление межбюджетных трансфертов поселениям района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Шушенского района, содействие повышению качества управления муниципальными финансами поселений района" муниципальной программы Шушенского района "Управление муниципальными финансами"</t>
  </si>
  <si>
    <t>20229999101049150</t>
  </si>
  <si>
    <t>Прочие субсидии бюджетам сельских поселений (Региональные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финансового управления администрации Шушенского района)</t>
  </si>
  <si>
    <t>Прочие субсидии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</si>
  <si>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Прочие субсидии бюджетам сельских поселений (Расходы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Шушенского района" муниципальной программы Шушенского района "Развитие транспортной системы")</t>
  </si>
  <si>
    <t xml:space="preserve">Земельный налог с организации, обладающих земельным участком, расположенным в границах сельских поселений </t>
  </si>
  <si>
    <t>Земельный налог с физических лиц, обладающих земельным участком, расположенным в границах сельских поселений</t>
  </si>
  <si>
    <t>20</t>
  </si>
  <si>
    <t>35</t>
  </si>
  <si>
    <t>118</t>
  </si>
  <si>
    <t>16</t>
  </si>
  <si>
    <t xml:space="preserve">Неисполненные назначения </t>
  </si>
  <si>
    <t>Муниципальная программа «Обеспечение жизнедеятельности, противодействие коррупции на территории муниципального образования «Казанцевский сельсовет» на 2020-2022 годы»</t>
  </si>
  <si>
    <t>Мероприятие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</t>
  </si>
  <si>
    <t xml:space="preserve">Содержание объектов уличного освещения в рамках мероприятия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«Обеспечение жизнедеятельности, противодействие коррупции на территории муниципального образования «Казанцевский сельсовет» </t>
  </si>
  <si>
    <t xml:space="preserve">Организация работ по благоустройству территории МО "Казанцевский сельсовет" «Комплексное решение проблем благоустройства, приведение освещенности в соответсвие с требованиями, предъявленными к уровню наружного освещения мест общего пользования и увелечение протяженности освещенных улиц, дорог, создание условий для комфортного и безопасного проживания жителей» муниципальной программы "Обеспечение жизнедеятельности, противодействие коррупции на территории муниципального образования "Казанцевски сельсовет" </t>
  </si>
  <si>
    <t>Создание условий для повышения и развития противопожарной безопасности</t>
  </si>
  <si>
    <t>02100S0010</t>
  </si>
  <si>
    <t>Расходы на выплаты работников бюджетной сферы не ниже размера минимальной заработной платы (минимального размера оплаты труда)</t>
  </si>
  <si>
    <t>Резервный фонд администрации в рамках непрограммных расходов администрации Казанцевского сельсовета</t>
  </si>
  <si>
    <t>Расходы на мероприятия в области национальной безопасности деятельности администрации Казанцевского сельсовета в рамках непрограммных расходов Администрации Казанцевского сельсовета</t>
  </si>
  <si>
    <t>6300080000</t>
  </si>
  <si>
    <t>Расходы на мероприятия в области национальной экономики администрации Казанцевского сельсовета в рамках непрограммных расходов Администрации Казанцевского сельсовета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</si>
  <si>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</si>
  <si>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</si>
  <si>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7</t>
  </si>
  <si>
    <t>8</t>
  </si>
  <si>
    <t>9</t>
  </si>
  <si>
    <t>12</t>
  </si>
  <si>
    <t>17</t>
  </si>
  <si>
    <t>18</t>
  </si>
  <si>
    <t>19</t>
  </si>
  <si>
    <t>21</t>
  </si>
  <si>
    <t>22</t>
  </si>
  <si>
    <t>23</t>
  </si>
  <si>
    <t>807 0102 00 00 00 0000 000</t>
  </si>
  <si>
    <t>807 0102 00 00 00 0000 700</t>
  </si>
  <si>
    <t>807 0102 00 00 05 0000 710</t>
  </si>
  <si>
    <t>807 0102 00 00 00 0000 800</t>
  </si>
  <si>
    <t>807 0102 00 00 05 0000 810</t>
  </si>
  <si>
    <t>807 01 05 00 00 00 0000 000</t>
  </si>
  <si>
    <t>807 01 05 00 00 00 0000 500</t>
  </si>
  <si>
    <t>807 01 06 05 02 00 0000 540</t>
  </si>
  <si>
    <t>807 01 06 05 00 00 0000 500</t>
  </si>
  <si>
    <t>807 01 06 05 02 05 0000 640</t>
  </si>
  <si>
    <t>807 01 06 05 02 00 0000 640</t>
  </si>
  <si>
    <t>807 01 06 05 01 05 0000 640</t>
  </si>
  <si>
    <t>807 01 06 05 01 00 0000 640</t>
  </si>
  <si>
    <t>807 01 06 05 00 00 0000 600</t>
  </si>
  <si>
    <t>807 01 06 05 00 00 0000 000</t>
  </si>
  <si>
    <t>807 01 06 00 00 00 0000 000</t>
  </si>
  <si>
    <t>807 01 05 02 01 05 0000 610</t>
  </si>
  <si>
    <t>807 01 05 02 01 00 0000 610</t>
  </si>
  <si>
    <t>807 01 05 02 00 00 0000 500</t>
  </si>
  <si>
    <t>807 01 05 02 01 00 0000 510</t>
  </si>
  <si>
    <t>807 01 05 02 01 05 0000 510</t>
  </si>
  <si>
    <t>807 01 05 00 00 00 0000 600</t>
  </si>
  <si>
    <t>807 01 05 02 00 00 0000 600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</si>
  <si>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</si>
  <si>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</si>
  <si>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</si>
  <si>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кредитов, предоставленных кредитными организациями  в валюте Российской Федерации</t>
  </si>
  <si>
    <t>Погашение  бюджетами муниципальных районов кредитов от кредитных организаций  в валюте Российской Федерации</t>
  </si>
  <si>
    <t>Изменение остатков средств на счетах по учету средств бюджета</t>
  </si>
  <si>
    <t>Увеличение остатков финансовых резервов 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</si>
  <si>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</si>
  <si>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</si>
  <si>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</si>
  <si>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</si>
  <si>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</si>
  <si>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</si>
  <si>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</si>
  <si>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 xml:space="preserve">Иные источники внутреннего финансирования дефицитов бюджетов 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</si>
  <si>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</si>
  <si>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</si>
  <si>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</si>
  <si>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</si>
  <si>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</si>
  <si>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</si>
  <si>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</si>
  <si>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федерального бюджета  в валюте Российской Федерации</t>
  </si>
  <si>
    <t>(руб.)</t>
  </si>
  <si>
    <t>11602020020000140</t>
  </si>
  <si>
    <t>20249999107745150</t>
  </si>
  <si>
    <t>Прочие межбюджетные трансферты, передаваемые бюджетам сельских поселений (Предоставление средств за содействие развитию налогового потенциала)</t>
  </si>
  <si>
    <t>20249999109235150</t>
  </si>
  <si>
    <t>9134</t>
  </si>
  <si>
    <t>6300092350</t>
  </si>
  <si>
    <t>6400077450</t>
  </si>
  <si>
    <t>Суточные при командировках</t>
  </si>
  <si>
    <t>Командировочные расходы</t>
  </si>
  <si>
    <t>212</t>
  </si>
  <si>
    <t>247</t>
  </si>
  <si>
    <t>297</t>
  </si>
  <si>
    <t>Социальное обеспечение населения</t>
  </si>
  <si>
    <t>1003</t>
  </si>
  <si>
    <t>320</t>
  </si>
  <si>
    <t>Единовременная материальная помощь населению</t>
  </si>
  <si>
    <t xml:space="preserve">                                                  к Решению Казанцевского сельского Совета депутатов</t>
  </si>
  <si>
    <t xml:space="preserve">    к Решению Казанцевского сельского Совета депутатов</t>
  </si>
  <si>
    <t>Субвенция на реализацию Закона края от 23 апреля 2009 года №8-3170 "О наделении ОМС МО края государственными полномочиями по созданию и обеспечению деятельности Административных комиссий</t>
  </si>
  <si>
    <t>050</t>
  </si>
  <si>
    <t>180</t>
  </si>
  <si>
    <t>Невыясненные поступления, зачисляемые в бюджеты поселений</t>
  </si>
  <si>
    <t>0310080010</t>
  </si>
  <si>
    <t>Выполнение других обязательст государства</t>
  </si>
  <si>
    <t>Административные штрафы</t>
  </si>
  <si>
    <t>6400080240</t>
  </si>
  <si>
    <r>
      <rPr>
        <sz val="10"/>
        <color indexed="8"/>
        <rFont val="Times New Roman"/>
        <family val="1"/>
        <charset val="204"/>
      </rPr>
      <t xml:space="preserve">Мероприятие "Информирование жителей Казанцевского сельсовета о </t>
    </r>
    <r>
      <rPr>
        <b/>
        <sz val="10"/>
        <color indexed="8"/>
        <rFont val="Times New Roman"/>
        <family val="1"/>
        <charset val="204"/>
      </rPr>
      <t>п</t>
    </r>
    <r>
      <rPr>
        <sz val="10"/>
        <color indexed="8"/>
        <rFont val="Times New Roman"/>
        <family val="1"/>
        <charset val="204"/>
      </rPr>
      <t>орядке действий при угрозе возникновения террористических актов, посредством размещения информации в средствах массовой информации"</t>
    </r>
  </si>
  <si>
    <t>0300000000</t>
  </si>
  <si>
    <t>0310000000</t>
  </si>
  <si>
    <t>Мероприятие "Информирование жителей Казанцевского сельсовета о порядке действий при угрозе возникновения террористических актов, посредством размещения информации в средствах массовой информации"</t>
  </si>
  <si>
    <t xml:space="preserve">                                                  Приложение № 1</t>
  </si>
  <si>
    <t xml:space="preserve">                      Приложение № 3</t>
  </si>
  <si>
    <t xml:space="preserve">                    Приложение № 4</t>
  </si>
  <si>
    <t>11607090100000140</t>
  </si>
  <si>
    <t>852</t>
  </si>
  <si>
    <t>Государственная пошлина</t>
  </si>
  <si>
    <t>291</t>
  </si>
  <si>
    <t>Иные выплаты текущего характера</t>
  </si>
  <si>
    <t xml:space="preserve">Муниципальная программа "Обеспечение пожарной безопасности на территории муниципального образования "Казанцевски сельсовет"  </t>
  </si>
  <si>
    <t xml:space="preserve"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МО "Казанцевский сельсовет" </t>
  </si>
  <si>
    <t xml:space="preserve">                                                  Приложение № 2</t>
  </si>
  <si>
    <t xml:space="preserve"> к Решению Казанцевского сельского Совета депутатов</t>
  </si>
  <si>
    <t xml:space="preserve">                                                             к Решению Казанцевского сельского Совета депутатов</t>
  </si>
  <si>
    <t xml:space="preserve">                                                               Приложение № 7</t>
  </si>
  <si>
    <t>Административные штрафы, установленные законами субъектами Российской Федерации об административных правонарушениях, за нарушение муниципальных правовых актов</t>
  </si>
  <si>
    <t>Иные штрафы, неустойки,пени, 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</si>
  <si>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11715030100000150</t>
  </si>
  <si>
    <t>Инициативные платежи, зачисляемые в бюджеты сельских поселений</t>
  </si>
  <si>
    <t>11801520100000150</t>
  </si>
  <si>
    <t>Перечисления из бюджетов сельских поселений по решениям о взыскании средств</t>
  </si>
  <si>
    <t>11802500100000150</t>
  </si>
  <si>
    <t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 по распределенным доходам</t>
  </si>
  <si>
    <t>Прочие межбюджетные трансферты, передаваемые бюджетам сельских поселений (региональные выплаты и выплаты, обеспечивающие уровень зароботной платы работников бюджетной сферы не ниже размера минимальной зароботной платы (минимального размера оплата труда) в рамках непрограммных расходов администрации Шушенского района)</t>
  </si>
  <si>
    <t>20249999109179150</t>
  </si>
  <si>
    <t>Прочие межбюджетные трансферты, передаваемые бюджетам сельских поселений (Расходы на содержание автомобильных дорог общего пользования местного значения)</t>
  </si>
  <si>
    <t>Невыясненныет поступления, зачисляемые в бюджеты сельских поселений</t>
  </si>
  <si>
    <t>20249999107412150</t>
  </si>
  <si>
    <t>Прочие межбюджетные трансферты, передаваемые бюджетам сельских поселений (Расходы на обеспечение первичных мер пожарной безопасности в рамках отдельных мероприятий муниципальной программы Шушенского района "Защита населения и территорий Шушенского района от чрезвычайных ситуаций природного и техногенного характера")</t>
  </si>
  <si>
    <t>Утвержденные бюджетные назначения на 2022 г.</t>
  </si>
  <si>
    <t>Утвержденные денежные средства по состоянию на 01.01.2022</t>
  </si>
  <si>
    <t>Иные межбюджетные трансферты на содержание автомобильных дорог общего пользования местного значения</t>
  </si>
  <si>
    <t>Муниципальная программа "Профилактика терроризма и экстремизма, а также минимизация и (или) ликвидация последствий проявления терроризма и экстремизма на территории муниципального образования Казанцевский сельсовет" на 2022 год и плановый период 2023-2024 годов"</t>
  </si>
  <si>
    <t>Муниципальная программа «Обеспечение пожарной безопасности на территории муниципального образования «Казанцевский сельсовет» на 2021-2023 гг."</t>
  </si>
  <si>
    <t>0110091790</t>
  </si>
  <si>
    <t>9179</t>
  </si>
  <si>
    <t>20249999107508150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</si>
  <si>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</si>
  <si>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20249999109300150</t>
  </si>
  <si>
    <t>Прочие межбюджетные трансферты, передаваемые бюджетам сельских поселений (на увеличение  (индексацию) оплаты труда отдельным категориям работников бюджетной сферы поселений в 2022 году)</t>
  </si>
  <si>
    <t>7745</t>
  </si>
  <si>
    <t>7508</t>
  </si>
  <si>
    <t>9300</t>
  </si>
  <si>
    <t>7641</t>
  </si>
  <si>
    <t>20249999107641150</t>
  </si>
  <si>
    <t>Прочие межбюджетные трансферты, передаваемые бюджетам сельских поселений (реализация мероприятий по поддержки местных инициатив)</t>
  </si>
  <si>
    <t>6100093000</t>
  </si>
  <si>
    <t>6200093000</t>
  </si>
  <si>
    <t>6300093000</t>
  </si>
  <si>
    <t>6400093000</t>
  </si>
  <si>
    <t>Софинансирование. Увеличение стоимости материальных запасов</t>
  </si>
  <si>
    <t>0110075080</t>
  </si>
  <si>
    <t>Расходы на оплату труда отдельным категориям работников бюджетной сферы поселений в 2022 году</t>
  </si>
  <si>
    <t>Расходы на благоустройство в рамках непрограммных расходов Администрации Казанцевского сельсовета</t>
  </si>
  <si>
    <t>6400076410</t>
  </si>
  <si>
    <t>20229999107508150</t>
  </si>
  <si>
    <t>Прочие субсидии бюджетам сельских поселений (Субсидии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</si>
  <si>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межбюджетные трансферты, передаваемые бюджетам сельских поселений (реализация мероприятий по поддержке местных инициатив)</t>
  </si>
  <si>
    <t>11715030100001150</t>
  </si>
  <si>
    <t>Инициативные платежи, зачисляемые в бюджеты сельских поселений (поддержка местных инициатив от юридических лиц и индивидуальных предпринимателей)</t>
  </si>
  <si>
    <t>11715030100002150</t>
  </si>
  <si>
    <t>Инициативные платежи, зачисляемые в бюджеты сельских поселений (поддержка местных инициатив от физических лиц)</t>
  </si>
  <si>
    <t>Прочие межбюджетные трансферты, передаваемые бюджетам сельских поселений (на увеличение (индексацию) оплаты труда отдельным категориям работников бюджетной сферы поселений в 2022 году)</t>
  </si>
  <si>
    <t xml:space="preserve">                                                                                                                                  к Решению Казанцевского сельского Совета депутатов</t>
  </si>
  <si>
    <t xml:space="preserve">                                Приложение № 5</t>
  </si>
  <si>
    <t xml:space="preserve">                                                                                                     Приложение № 6</t>
  </si>
  <si>
    <t>030</t>
  </si>
  <si>
    <t>0001</t>
  </si>
  <si>
    <t>0002</t>
  </si>
  <si>
    <t>16.2.</t>
  </si>
  <si>
    <t>17.1</t>
  </si>
  <si>
    <t>17.2</t>
  </si>
  <si>
    <t>18.1</t>
  </si>
  <si>
    <t>1034</t>
  </si>
  <si>
    <t>Субсидии бюджетам бюджетной системы Российской Федерации (межбюджетные трансферты). Прочие межбюджтеные трансферты, передаваемые бюджетам сельских поселений (на увеличение с 1 июня 2022 года региональных выплат)</t>
  </si>
  <si>
    <t>18.2.</t>
  </si>
  <si>
    <t>9119</t>
  </si>
  <si>
    <t>Субсидии бюджетам бюджетной системы Российской Федерации (межбюджетные трансферты). Резервный фонд Адмнистрации района</t>
  </si>
  <si>
    <t>18.3</t>
  </si>
  <si>
    <t>18.4</t>
  </si>
  <si>
    <t>18.5</t>
  </si>
  <si>
    <t>18.6</t>
  </si>
  <si>
    <t>18.7.</t>
  </si>
  <si>
    <t>18.8</t>
  </si>
  <si>
    <t>18.9</t>
  </si>
  <si>
    <t>18.10</t>
  </si>
  <si>
    <t>20249999101034150</t>
  </si>
  <si>
    <t>Прочие межбюджетные трансферты, передаваемые бюджетам сельских поселений (на увеличение с 1 июня 2022 года региональных выплат)</t>
  </si>
  <si>
    <t>Прочие вопросы в области благоустройства</t>
  </si>
  <si>
    <t>6300010340</t>
  </si>
  <si>
    <t>Расходы на оплату труда отдельным категориям работников бюджетной сферы поселений с 1 июня 2022 году</t>
  </si>
  <si>
    <t>64000S6100</t>
  </si>
  <si>
    <t>Перечень главных администраторов доходов бюджета поселения за 2022 г.</t>
  </si>
  <si>
    <t>Источники внутреннего финансирования дефицита бюджета Казанцевского сельсовета на 01.01.2023 г.</t>
  </si>
  <si>
    <t>Доходы бюджета Казанцевского сельсовета за 2022 г.</t>
  </si>
  <si>
    <t>Распределение бюджетных ассигнований по целевым статьям (муниципальным программам Казанцевского сельсовета и непрограмным направлениям деятельности), группам и подгруппам видов расходов, разделам, подразделам классификации расходов бюджета Казанцевского сельсовета за 2022 г.</t>
  </si>
  <si>
    <t>Уточненные бюджетные назначения на 01.01.2023 г.</t>
  </si>
  <si>
    <t>Исполнено на 01.01.2023 г.</t>
  </si>
  <si>
    <t>Ведомственная структура расходов бюджета Казанцевского сельсовета за 2022 г.</t>
  </si>
  <si>
    <t>Распределение расходов бюджета по разделам и подразделам классификации расходов бюджета за 2022 г.</t>
  </si>
  <si>
    <t xml:space="preserve">Отчет об использовании средств резервного фонда
на  01.01.2023
</t>
  </si>
  <si>
    <t>Кассовые расходы по состоянию на 01.01.2023</t>
  </si>
  <si>
    <t>Денежные средства на счете по состоянию на 01.01.2023</t>
  </si>
  <si>
    <t>292</t>
  </si>
  <si>
    <t>Уплата иных платежей</t>
  </si>
  <si>
    <t>228</t>
  </si>
  <si>
    <t>Услуги,  работы для целей каптальных вложений</t>
  </si>
  <si>
    <t xml:space="preserve">                                                  от "22" марта 2023 г. №  4-12</t>
  </si>
  <si>
    <t xml:space="preserve">                                                                                        от "22" марта 2023 г. №  4-12</t>
  </si>
  <si>
    <t xml:space="preserve">                                              от "22" марта 2023 г. №  4-12</t>
  </si>
  <si>
    <t xml:space="preserve">           от "22" марта 2023 г. №  4-12</t>
  </si>
  <si>
    <t xml:space="preserve">                                                   от "22" марта 2023 г. №  4-12</t>
  </si>
  <si>
    <t xml:space="preserve">                                                                                    к Решению Казанцевского сельского Совета депутатов </t>
  </si>
  <si>
    <t xml:space="preserve">                                                             от "22" марта 2023 г. №  4-12</t>
  </si>
  <si>
    <t xml:space="preserve">                от "22" марта 2023 г. №  4-12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</si>
</sst>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"/>
    <numFmt numFmtId="166" formatCode="0.0"/>
    <numFmt numFmtId="167" formatCode="#,##0_ ;[Red]\-#,##0\ "/>
    <numFmt numFmtId="168" formatCode="#,##0.0_ ;[Red]\-#,##0.0\ "/>
    <numFmt numFmtId="169" formatCode="#,##0.00_ ;[Red]\-#,##0.00\ "/>
  </numFmts>
  <fonts count="33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i/>
      <u/>
      <sz val="10"/>
      <name val="Times New Roman Cyr"/>
      <charset val="204"/>
    </font>
    <font>
      <u/>
      <sz val="10"/>
      <color rgb="FF000000"/>
      <name val="Times New Roman"/>
      <family val="1"/>
      <charset val="204"/>
    </font>
    <font>
      <i/>
      <u/>
      <sz val="10"/>
      <color rgb="FF000000"/>
      <name val="Times New Roman"/>
      <family val="1"/>
      <charset val="204"/>
    </font>
    <font>
      <i/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1" fillId="0" borderId="0"/>
    <xf numFmtId="0" fontId="27" fillId="0" borderId="0"/>
  </cellStyleXfs>
  <cellXfs count="3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top"/>
    </xf>
    <xf numFmtId="0" fontId="1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164" fontId="3" fillId="0" borderId="0" xfId="0" applyNumberFormat="1" applyFont="1"/>
    <xf numFmtId="0" fontId="2" fillId="0" borderId="1" xfId="0" applyFont="1" applyBorder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justify" wrapText="1"/>
    </xf>
    <xf numFmtId="49" fontId="3" fillId="0" borderId="1" xfId="0" applyNumberFormat="1" applyFont="1" applyBorder="1"/>
    <xf numFmtId="165" fontId="3" fillId="0" borderId="1" xfId="0" applyNumberFormat="1" applyFont="1" applyBorder="1"/>
    <xf numFmtId="165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/>
    <xf numFmtId="165" fontId="2" fillId="0" borderId="0" xfId="0" applyNumberFormat="1" applyFont="1"/>
    <xf numFmtId="165" fontId="8" fillId="0" borderId="1" xfId="0" applyNumberFormat="1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2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quotePrefix="1" applyFont="1" applyFill="1" applyBorder="1" applyAlignment="1">
      <alignment horizontal="left" vertical="top" wrapText="1"/>
    </xf>
    <xf numFmtId="49" fontId="11" fillId="2" borderId="1" xfId="0" applyNumberFormat="1" applyFont="1" applyFill="1" applyBorder="1" applyAlignment="1">
      <alignment wrapText="1"/>
    </xf>
    <xf numFmtId="49" fontId="12" fillId="2" borderId="1" xfId="0" applyNumberFormat="1" applyFont="1" applyFill="1" applyBorder="1" applyAlignment="1">
      <alignment horizontal="left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0" fontId="15" fillId="0" borderId="1" xfId="0" applyFont="1" applyBorder="1" applyAlignment="1">
      <alignment horizontal="left" vertical="top" wrapText="1"/>
    </xf>
    <xf numFmtId="0" fontId="18" fillId="2" borderId="1" xfId="0" quotePrefix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0" fontId="18" fillId="2" borderId="9" xfId="0" applyFont="1" applyFill="1" applyBorder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2" borderId="9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Border="1" applyAlignment="1">
      <alignment horizontal="center" vertical="top" wrapText="1"/>
    </xf>
    <xf numFmtId="49" fontId="16" fillId="0" borderId="1" xfId="0" applyNumberFormat="1" applyFont="1" applyBorder="1" applyAlignment="1">
      <alignment horizontal="center" vertical="top"/>
    </xf>
    <xf numFmtId="0" fontId="16" fillId="0" borderId="1" xfId="0" applyFont="1" applyBorder="1"/>
    <xf numFmtId="0" fontId="16" fillId="0" borderId="1" xfId="0" quotePrefix="1" applyFont="1" applyBorder="1"/>
    <xf numFmtId="0" fontId="16" fillId="0" borderId="1" xfId="0" applyFont="1" applyBorder="1" applyAlignment="1">
      <alignment wrapText="1"/>
    </xf>
    <xf numFmtId="0" fontId="17" fillId="0" borderId="1" xfId="0" applyFont="1" applyBorder="1"/>
    <xf numFmtId="49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20" fillId="2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wrapText="1"/>
    </xf>
    <xf numFmtId="165" fontId="3" fillId="0" borderId="0" xfId="0" applyNumberFormat="1" applyFont="1"/>
    <xf numFmtId="165" fontId="3" fillId="0" borderId="1" xfId="0" applyNumberFormat="1" applyFont="1" applyBorder="1" applyAlignment="1">
      <alignment vertical="top"/>
    </xf>
    <xf numFmtId="4" fontId="3" fillId="0" borderId="1" xfId="0" applyNumberFormat="1" applyFont="1" applyBorder="1"/>
    <xf numFmtId="164" fontId="25" fillId="0" borderId="0" xfId="0" applyNumberFormat="1" applyFont="1"/>
    <xf numFmtId="164" fontId="24" fillId="0" borderId="0" xfId="0" applyNumberFormat="1" applyFont="1"/>
    <xf numFmtId="0" fontId="26" fillId="2" borderId="1" xfId="0" applyFont="1" applyFill="1" applyBorder="1" applyAlignment="1">
      <alignment horizontal="left" wrapText="1"/>
    </xf>
    <xf numFmtId="165" fontId="3" fillId="2" borderId="1" xfId="0" applyNumberFormat="1" applyFont="1" applyFill="1" applyBorder="1" applyAlignment="1">
      <alignment vertical="top" wrapText="1"/>
    </xf>
    <xf numFmtId="165" fontId="3" fillId="2" borderId="1" xfId="0" applyNumberFormat="1" applyFont="1" applyFill="1" applyBorder="1" applyAlignment="1">
      <alignment horizontal="right" vertical="top" wrapText="1"/>
    </xf>
    <xf numFmtId="4" fontId="3" fillId="0" borderId="0" xfId="0" applyNumberFormat="1" applyFont="1" applyAlignment="1">
      <alignment wrapText="1"/>
    </xf>
    <xf numFmtId="4" fontId="23" fillId="0" borderId="0" xfId="0" applyNumberFormat="1" applyFont="1"/>
    <xf numFmtId="49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168" fontId="3" fillId="2" borderId="1" xfId="0" applyNumberFormat="1" applyFont="1" applyFill="1" applyBorder="1"/>
    <xf numFmtId="168" fontId="3" fillId="2" borderId="1" xfId="0" applyNumberFormat="1" applyFont="1" applyFill="1" applyBorder="1" applyAlignment="1">
      <alignment horizontal="right"/>
    </xf>
    <xf numFmtId="0" fontId="29" fillId="3" borderId="1" xfId="0" applyFont="1" applyFill="1" applyBorder="1" applyAlignment="1">
      <alignment vertical="top" wrapText="1"/>
    </xf>
    <xf numFmtId="0" fontId="28" fillId="3" borderId="1" xfId="0" quotePrefix="1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wrapText="1"/>
    </xf>
    <xf numFmtId="49" fontId="3" fillId="0" borderId="2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20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wrapText="1"/>
    </xf>
    <xf numFmtId="4" fontId="3" fillId="0" borderId="14" xfId="0" applyNumberFormat="1" applyFont="1" applyBorder="1" applyAlignment="1">
      <alignment horizontal="right" wrapText="1"/>
    </xf>
    <xf numFmtId="4" fontId="0" fillId="0" borderId="0" xfId="0" applyNumberFormat="1"/>
    <xf numFmtId="0" fontId="2" fillId="0" borderId="1" xfId="0" applyFont="1" applyBorder="1" applyAlignment="1">
      <alignment horizontal="center"/>
    </xf>
    <xf numFmtId="0" fontId="8" fillId="0" borderId="1" xfId="0" applyFont="1" applyBorder="1"/>
    <xf numFmtId="164" fontId="2" fillId="0" borderId="1" xfId="0" applyNumberFormat="1" applyFont="1" applyBorder="1" applyAlignment="1">
      <alignment horizontal="right"/>
    </xf>
    <xf numFmtId="0" fontId="0" fillId="0" borderId="1" xfId="0" applyBorder="1"/>
    <xf numFmtId="166" fontId="3" fillId="0" borderId="1" xfId="0" applyNumberFormat="1" applyFont="1" applyBorder="1" applyAlignment="1">
      <alignment vertical="top"/>
    </xf>
    <xf numFmtId="0" fontId="28" fillId="3" borderId="1" xfId="0" applyFont="1" applyFill="1" applyBorder="1" applyAlignment="1">
      <alignment wrapText="1"/>
    </xf>
    <xf numFmtId="0" fontId="28" fillId="3" borderId="1" xfId="0" applyFont="1" applyFill="1" applyBorder="1" applyAlignment="1">
      <alignment horizontal="left" wrapText="1"/>
    </xf>
    <xf numFmtId="49" fontId="28" fillId="3" borderId="1" xfId="0" applyNumberFormat="1" applyFont="1" applyFill="1" applyBorder="1" applyAlignment="1">
      <alignment horizontal="center"/>
    </xf>
    <xf numFmtId="166" fontId="3" fillId="0" borderId="1" xfId="0" applyNumberFormat="1" applyFont="1" applyBorder="1" applyAlignment="1">
      <alignment horizontal="right" vertical="top"/>
    </xf>
    <xf numFmtId="49" fontId="20" fillId="2" borderId="1" xfId="0" applyNumberFormat="1" applyFont="1" applyFill="1" applyBorder="1" applyAlignment="1">
      <alignment horizontal="left" wrapText="1"/>
    </xf>
    <xf numFmtId="165" fontId="3" fillId="3" borderId="1" xfId="0" applyNumberFormat="1" applyFont="1" applyFill="1" applyBorder="1" applyAlignment="1">
      <alignment horizontal="right"/>
    </xf>
    <xf numFmtId="0" fontId="28" fillId="3" borderId="1" xfId="0" quotePrefix="1" applyFont="1" applyFill="1" applyBorder="1" applyAlignment="1">
      <alignment wrapText="1"/>
    </xf>
    <xf numFmtId="49" fontId="3" fillId="0" borderId="1" xfId="0" applyNumberFormat="1" applyFont="1" applyBorder="1" applyAlignment="1">
      <alignment horizontal="center" vertical="top"/>
    </xf>
    <xf numFmtId="0" fontId="3" fillId="3" borderId="1" xfId="0" quotePrefix="1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168" fontId="2" fillId="2" borderId="1" xfId="0" applyNumberFormat="1" applyFont="1" applyFill="1" applyBorder="1" applyAlignment="1">
      <alignment horizontal="right"/>
    </xf>
    <xf numFmtId="0" fontId="29" fillId="0" borderId="17" xfId="0" applyFont="1" applyBorder="1" applyAlignment="1">
      <alignment horizontal="center" vertical="center" wrapText="1"/>
    </xf>
    <xf numFmtId="2" fontId="29" fillId="0" borderId="17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right" vertical="top" wrapText="1"/>
    </xf>
    <xf numFmtId="49" fontId="2" fillId="0" borderId="4" xfId="0" applyNumberFormat="1" applyFont="1" applyBorder="1" applyAlignment="1">
      <alignment horizontal="center"/>
    </xf>
    <xf numFmtId="1" fontId="3" fillId="2" borderId="12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wrapText="1"/>
    </xf>
    <xf numFmtId="168" fontId="3" fillId="2" borderId="22" xfId="0" applyNumberFormat="1" applyFont="1" applyFill="1" applyBorder="1" applyAlignment="1">
      <alignment horizontal="center"/>
    </xf>
    <xf numFmtId="169" fontId="3" fillId="2" borderId="22" xfId="0" applyNumberFormat="1" applyFont="1" applyFill="1" applyBorder="1" applyAlignment="1">
      <alignment horizontal="center"/>
    </xf>
    <xf numFmtId="49" fontId="2" fillId="0" borderId="23" xfId="0" applyNumberFormat="1" applyFont="1" applyBorder="1" applyAlignment="1">
      <alignment horizontal="center" vertical="top"/>
    </xf>
    <xf numFmtId="49" fontId="2" fillId="0" borderId="2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31" fillId="0" borderId="13" xfId="0" applyNumberFormat="1" applyFont="1" applyBorder="1" applyAlignment="1">
      <alignment horizontal="center" vertical="center"/>
    </xf>
    <xf numFmtId="4" fontId="31" fillId="0" borderId="14" xfId="0" quotePrefix="1" applyNumberFormat="1" applyFont="1" applyBorder="1" applyAlignment="1">
      <alignment horizontal="center" vertical="center" wrapText="1"/>
    </xf>
    <xf numFmtId="4" fontId="31" fillId="0" borderId="15" xfId="0" quotePrefix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7" fillId="0" borderId="1" xfId="0" quotePrefix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9" fontId="16" fillId="0" borderId="1" xfId="0" applyNumberFormat="1" applyFont="1" applyBorder="1"/>
    <xf numFmtId="165" fontId="2" fillId="0" borderId="17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wrapText="1"/>
    </xf>
    <xf numFmtId="0" fontId="3" fillId="2" borderId="1" xfId="1" applyFont="1" applyFill="1" applyBorder="1" applyAlignment="1">
      <alignment horizontal="left" wrapText="1"/>
    </xf>
    <xf numFmtId="165" fontId="3" fillId="0" borderId="1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left" vertical="top" wrapText="1"/>
    </xf>
    <xf numFmtId="165" fontId="2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" fontId="18" fillId="0" borderId="10" xfId="0" applyNumberFormat="1" applyFont="1" applyBorder="1" applyAlignment="1">
      <alignment horizontal="right" vertical="top" wrapText="1"/>
    </xf>
    <xf numFmtId="1" fontId="3" fillId="0" borderId="12" xfId="0" applyNumberFormat="1" applyFont="1" applyBorder="1" applyAlignment="1">
      <alignment horizontal="right" vertical="top" wrapText="1"/>
    </xf>
    <xf numFmtId="0" fontId="22" fillId="0" borderId="1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0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right" wrapText="1"/>
    </xf>
    <xf numFmtId="1" fontId="3" fillId="0" borderId="12" xfId="0" applyNumberFormat="1" applyFont="1" applyBorder="1" applyAlignment="1">
      <alignment horizontal="right" wrapText="1"/>
    </xf>
    <xf numFmtId="0" fontId="2" fillId="0" borderId="18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left" vertical="top" wrapText="1"/>
    </xf>
    <xf numFmtId="0" fontId="10" fillId="0" borderId="17" xfId="0" quotePrefix="1" applyFont="1" applyBorder="1" applyAlignment="1">
      <alignment horizontal="center" vertical="top" wrapText="1"/>
    </xf>
    <xf numFmtId="49" fontId="16" fillId="0" borderId="17" xfId="0" applyNumberFormat="1" applyFont="1" applyBorder="1" applyAlignment="1">
      <alignment horizontal="center" vertical="top"/>
    </xf>
    <xf numFmtId="165" fontId="3" fillId="0" borderId="17" xfId="0" applyNumberFormat="1" applyFont="1" applyBorder="1" applyAlignment="1">
      <alignment vertical="top"/>
    </xf>
    <xf numFmtId="165" fontId="3" fillId="0" borderId="17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1" fontId="3" fillId="2" borderId="4" xfId="0" applyNumberFormat="1" applyFont="1" applyFill="1" applyBorder="1" applyAlignment="1">
      <alignment horizontal="right" vertical="top" wrapText="1"/>
    </xf>
    <xf numFmtId="0" fontId="19" fillId="0" borderId="30" xfId="0" applyFont="1" applyBorder="1" applyAlignment="1">
      <alignment horizontal="center" vertical="top"/>
    </xf>
    <xf numFmtId="0" fontId="19" fillId="0" borderId="31" xfId="0" quotePrefix="1" applyFont="1" applyBorder="1" applyAlignment="1">
      <alignment horizontal="left" vertical="top" wrapText="1"/>
    </xf>
    <xf numFmtId="0" fontId="19" fillId="0" borderId="32" xfId="0" quotePrefix="1" applyFont="1" applyBorder="1" applyAlignment="1">
      <alignment horizontal="center" wrapText="1"/>
    </xf>
    <xf numFmtId="165" fontId="2" fillId="0" borderId="6" xfId="0" applyNumberFormat="1" applyFont="1" applyBorder="1" applyAlignment="1">
      <alignment horizontal="right" wrapText="1"/>
    </xf>
    <xf numFmtId="1" fontId="3" fillId="0" borderId="7" xfId="0" applyNumberFormat="1" applyFont="1" applyBorder="1" applyAlignment="1">
      <alignment horizontal="right" wrapText="1"/>
    </xf>
    <xf numFmtId="0" fontId="19" fillId="0" borderId="29" xfId="0" quotePrefix="1" applyFont="1" applyBorder="1" applyAlignment="1">
      <alignment horizontal="center" wrapText="1"/>
    </xf>
    <xf numFmtId="165" fontId="2" fillId="0" borderId="16" xfId="0" applyNumberFormat="1" applyFont="1" applyBorder="1" applyAlignment="1">
      <alignment horizontal="right" wrapText="1"/>
    </xf>
    <xf numFmtId="1" fontId="2" fillId="0" borderId="34" xfId="0" applyNumberFormat="1" applyFont="1" applyBorder="1" applyAlignment="1">
      <alignment horizontal="right" wrapText="1"/>
    </xf>
    <xf numFmtId="0" fontId="10" fillId="0" borderId="1" xfId="0" quotePrefix="1" applyFont="1" applyBorder="1" applyAlignment="1">
      <alignment horizontal="center" wrapText="1"/>
    </xf>
    <xf numFmtId="0" fontId="19" fillId="0" borderId="1" xfId="0" quotePrefix="1" applyFont="1" applyBorder="1" applyAlignment="1">
      <alignment horizontal="left" vertical="top" wrapText="1"/>
    </xf>
    <xf numFmtId="0" fontId="19" fillId="0" borderId="1" xfId="0" quotePrefix="1" applyFont="1" applyBorder="1" applyAlignment="1">
      <alignment horizontal="center" wrapText="1"/>
    </xf>
    <xf numFmtId="4" fontId="29" fillId="3" borderId="1" xfId="0" applyNumberFormat="1" applyFont="1" applyFill="1" applyBorder="1" applyAlignment="1">
      <alignment horizontal="center" wrapText="1"/>
    </xf>
    <xf numFmtId="49" fontId="28" fillId="3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vertical="top"/>
    </xf>
    <xf numFmtId="0" fontId="10" fillId="0" borderId="9" xfId="0" quotePrefix="1" applyFont="1" applyBorder="1" applyAlignment="1">
      <alignment horizontal="left" vertical="top" wrapText="1"/>
    </xf>
    <xf numFmtId="0" fontId="10" fillId="0" borderId="9" xfId="0" quotePrefix="1" applyFont="1" applyBorder="1" applyAlignment="1">
      <alignment horizontal="center" wrapText="1"/>
    </xf>
    <xf numFmtId="4" fontId="3" fillId="0" borderId="9" xfId="0" applyNumberFormat="1" applyFont="1" applyBorder="1" applyAlignment="1">
      <alignment horizontal="right" wrapText="1"/>
    </xf>
    <xf numFmtId="0" fontId="10" fillId="0" borderId="11" xfId="0" applyFont="1" applyBorder="1" applyAlignment="1">
      <alignment horizontal="center" vertical="top"/>
    </xf>
    <xf numFmtId="0" fontId="10" fillId="0" borderId="13" xfId="0" applyFont="1" applyBorder="1" applyAlignment="1">
      <alignment horizontal="center" vertical="top"/>
    </xf>
    <xf numFmtId="0" fontId="10" fillId="0" borderId="14" xfId="0" quotePrefix="1" applyFont="1" applyBorder="1" applyAlignment="1">
      <alignment horizontal="center" wrapText="1"/>
    </xf>
    <xf numFmtId="1" fontId="3" fillId="0" borderId="15" xfId="0" applyNumberFormat="1" applyFont="1" applyBorder="1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2" borderId="8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horizontal="center"/>
    </xf>
    <xf numFmtId="4" fontId="2" fillId="0" borderId="16" xfId="0" applyNumberFormat="1" applyFont="1" applyBorder="1" applyAlignment="1">
      <alignment vertical="center"/>
    </xf>
    <xf numFmtId="1" fontId="2" fillId="0" borderId="34" xfId="0" applyNumberFormat="1" applyFont="1" applyBorder="1" applyAlignment="1">
      <alignment horizontal="right" vertical="top" wrapText="1"/>
    </xf>
    <xf numFmtId="0" fontId="3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10" fillId="0" borderId="14" xfId="0" quotePrefix="1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center" vertical="top" wrapText="1"/>
    </xf>
    <xf numFmtId="1" fontId="3" fillId="0" borderId="15" xfId="0" applyNumberFormat="1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" fontId="32" fillId="0" borderId="9" xfId="0" applyNumberFormat="1" applyFont="1" applyBorder="1" applyAlignment="1">
      <alignment horizontal="right" vertical="top" wrapText="1"/>
    </xf>
    <xf numFmtId="4" fontId="16" fillId="0" borderId="1" xfId="0" applyNumberFormat="1" applyFont="1" applyBorder="1" applyAlignment="1">
      <alignment horizontal="right" vertical="top" wrapText="1"/>
    </xf>
    <xf numFmtId="4" fontId="16" fillId="0" borderId="14" xfId="0" applyNumberFormat="1" applyFont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165" fontId="16" fillId="0" borderId="1" xfId="0" applyNumberFormat="1" applyFont="1" applyBorder="1" applyAlignment="1">
      <alignment horizontal="right" vertical="top" wrapText="1"/>
    </xf>
    <xf numFmtId="4" fontId="16" fillId="0" borderId="1" xfId="0" applyNumberFormat="1" applyFont="1" applyBorder="1"/>
    <xf numFmtId="165" fontId="16" fillId="0" borderId="1" xfId="0" applyNumberFormat="1" applyFont="1" applyBorder="1"/>
    <xf numFmtId="4" fontId="16" fillId="0" borderId="1" xfId="0" applyNumberFormat="1" applyFont="1" applyBorder="1" applyAlignment="1">
      <alignment vertical="top"/>
    </xf>
    <xf numFmtId="165" fontId="16" fillId="0" borderId="1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vertical="top"/>
    </xf>
    <xf numFmtId="0" fontId="15" fillId="0" borderId="1" xfId="0" quotePrefix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" xfId="0" applyFont="1" applyBorder="1"/>
    <xf numFmtId="0" fontId="3" fillId="0" borderId="12" xfId="0" applyFont="1" applyBorder="1"/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 wrapText="1"/>
    </xf>
    <xf numFmtId="49" fontId="16" fillId="2" borderId="18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0" fontId="5" fillId="0" borderId="0" xfId="0" applyFont="1" applyAlignment="1">
      <alignment horizontal="center" wrapText="1"/>
    </xf>
    <xf numFmtId="0" fontId="3" fillId="0" borderId="17" xfId="0" applyFont="1" applyBorder="1" applyAlignment="1">
      <alignment horizontal="center" vertical="center" textRotation="90" wrapText="1"/>
    </xf>
    <xf numFmtId="0" fontId="3" fillId="0" borderId="18" xfId="0" applyFont="1" applyBorder="1" applyAlignment="1">
      <alignment horizontal="center" vertical="center" textRotation="90" wrapText="1"/>
    </xf>
    <xf numFmtId="49" fontId="3" fillId="0" borderId="19" xfId="0" applyNumberFormat="1" applyFont="1" applyBorder="1" applyAlignment="1">
      <alignment horizontal="center" wrapText="1"/>
    </xf>
    <xf numFmtId="49" fontId="3" fillId="0" borderId="21" xfId="0" applyNumberFormat="1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 vertical="center" wrapText="1"/>
    </xf>
    <xf numFmtId="167" fontId="3" fillId="0" borderId="17" xfId="0" applyNumberFormat="1" applyFont="1" applyBorder="1" applyAlignment="1">
      <alignment horizontal="center" vertical="center" wrapText="1"/>
    </xf>
    <xf numFmtId="167" fontId="3" fillId="0" borderId="1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quotePrefix="1" applyNumberFormat="1" applyFont="1" applyBorder="1" applyAlignment="1">
      <alignment horizontal="center" wrapText="1"/>
    </xf>
    <xf numFmtId="167" fontId="3" fillId="2" borderId="17" xfId="0" applyNumberFormat="1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17" fillId="0" borderId="25" xfId="0" applyFont="1" applyBorder="1" applyAlignment="1">
      <alignment horizontal="left"/>
    </xf>
    <xf numFmtId="0" fontId="17" fillId="0" borderId="26" xfId="0" applyFont="1" applyBorder="1" applyAlignment="1">
      <alignment horizontal="left"/>
    </xf>
    <xf numFmtId="0" fontId="17" fillId="0" borderId="27" xfId="0" applyFont="1" applyBorder="1" applyAlignment="1">
      <alignment horizontal="left"/>
    </xf>
    <xf numFmtId="0" fontId="2" fillId="0" borderId="35" xfId="0" applyFont="1" applyBorder="1" applyAlignment="1">
      <alignment horizontal="right" vertical="center"/>
    </xf>
    <xf numFmtId="0" fontId="2" fillId="0" borderId="36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5" fillId="0" borderId="0" xfId="0" applyFont="1"/>
    <xf numFmtId="0" fontId="3" fillId="0" borderId="0" xfId="0" applyFont="1"/>
    <xf numFmtId="0" fontId="19" fillId="0" borderId="33" xfId="0" quotePrefix="1" applyFont="1" applyBorder="1" applyAlignment="1">
      <alignment horizontal="left" vertical="top" wrapText="1"/>
    </xf>
    <xf numFmtId="0" fontId="19" fillId="0" borderId="28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/>
  </cellXfs>
  <cellStyles count="3">
    <cellStyle name="Обычный" xfId="0" builtinId="0"/>
    <cellStyle name="Обычный 2" xfId="2" xr:uid="{00000000-0005-0000-0000-000001000000}"/>
    <cellStyle name="Обычный_Приложение № 5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zoomScaleSheetLayoutView="89" workbookViewId="0">
      <selection activeCell="J3" sqref="J3"/>
    </sheetView>
  </sheetViews>
  <sheetFormatPr defaultRowHeight="12.75" x14ac:dyDescent="0.2"/>
  <cols>
    <col min="1" max="1" width="5.7109375" style="1" customWidth="1"/>
    <col min="2" max="2" width="13.140625" style="1" customWidth="1"/>
    <col min="3" max="3" width="9.140625" style="1"/>
    <col min="4" max="4" width="9" style="1" customWidth="1"/>
    <col min="5" max="9" width="9.140625" style="1"/>
    <col min="10" max="10" width="85.140625" style="1" customWidth="1"/>
    <col min="11" max="16384" width="9.140625" style="1"/>
  </cols>
  <sheetData>
    <row r="1" spans="1:13" ht="15.75" x14ac:dyDescent="0.25">
      <c r="J1" s="140" t="s">
        <v>407</v>
      </c>
      <c r="K1" s="2"/>
      <c r="L1" s="2"/>
      <c r="M1" s="2"/>
    </row>
    <row r="2" spans="1:13" ht="15.75" x14ac:dyDescent="0.25">
      <c r="J2" s="141" t="s">
        <v>393</v>
      </c>
      <c r="K2" s="2"/>
      <c r="L2" s="2"/>
      <c r="M2" s="2"/>
    </row>
    <row r="3" spans="1:13" ht="15.75" x14ac:dyDescent="0.25">
      <c r="J3" s="141" t="s">
        <v>513</v>
      </c>
      <c r="K3" s="2"/>
      <c r="L3" s="2"/>
      <c r="M3" s="2"/>
    </row>
    <row r="4" spans="1:13" ht="8.25" customHeight="1" x14ac:dyDescent="0.2">
      <c r="J4" s="136"/>
    </row>
    <row r="5" spans="1:13" ht="27.75" customHeight="1" x14ac:dyDescent="0.3">
      <c r="A5" s="259" t="s">
        <v>498</v>
      </c>
      <c r="B5" s="259"/>
      <c r="C5" s="259"/>
      <c r="D5" s="259"/>
      <c r="E5" s="259"/>
      <c r="F5" s="259"/>
      <c r="G5" s="259"/>
      <c r="H5" s="259"/>
      <c r="I5" s="259"/>
      <c r="J5" s="259"/>
    </row>
    <row r="6" spans="1:13" ht="14.25" customHeight="1" x14ac:dyDescent="0.2">
      <c r="B6" s="263"/>
      <c r="C6" s="263"/>
      <c r="D6" s="263"/>
      <c r="E6" s="263"/>
      <c r="F6" s="263"/>
      <c r="G6" s="263"/>
      <c r="H6" s="263"/>
      <c r="I6" s="263"/>
      <c r="J6" s="263"/>
    </row>
    <row r="7" spans="1:13" ht="17.25" customHeight="1" x14ac:dyDescent="0.2"/>
    <row r="8" spans="1:13" ht="43.5" customHeight="1" x14ac:dyDescent="0.2">
      <c r="A8" s="80" t="s">
        <v>51</v>
      </c>
      <c r="B8" s="80" t="s">
        <v>3</v>
      </c>
      <c r="C8" s="260" t="s">
        <v>0</v>
      </c>
      <c r="D8" s="260"/>
      <c r="E8" s="261" t="s">
        <v>2</v>
      </c>
      <c r="F8" s="261"/>
      <c r="G8" s="261"/>
      <c r="H8" s="261"/>
      <c r="I8" s="261"/>
      <c r="J8" s="261"/>
    </row>
    <row r="9" spans="1:13" x14ac:dyDescent="0.2">
      <c r="A9" s="98"/>
      <c r="B9" s="230">
        <v>1</v>
      </c>
      <c r="C9" s="264">
        <v>2</v>
      </c>
      <c r="D9" s="264"/>
      <c r="E9" s="258">
        <v>3</v>
      </c>
      <c r="F9" s="258"/>
      <c r="G9" s="258"/>
      <c r="H9" s="258"/>
      <c r="I9" s="258"/>
      <c r="J9" s="258"/>
    </row>
    <row r="10" spans="1:13" ht="15" customHeight="1" thickBot="1" x14ac:dyDescent="0.25">
      <c r="A10" s="262" t="s">
        <v>8</v>
      </c>
      <c r="B10" s="262"/>
      <c r="C10" s="262"/>
      <c r="D10" s="262"/>
      <c r="E10" s="262"/>
      <c r="F10" s="262"/>
      <c r="G10" s="262"/>
      <c r="H10" s="262"/>
      <c r="I10" s="262"/>
      <c r="J10" s="262"/>
    </row>
    <row r="11" spans="1:13" ht="39" customHeight="1" x14ac:dyDescent="0.2">
      <c r="A11" s="231">
        <v>1</v>
      </c>
      <c r="B11" s="232">
        <v>807</v>
      </c>
      <c r="C11" s="277" t="s">
        <v>9</v>
      </c>
      <c r="D11" s="277"/>
      <c r="E11" s="275" t="s">
        <v>166</v>
      </c>
      <c r="F11" s="275"/>
      <c r="G11" s="275"/>
      <c r="H11" s="275"/>
      <c r="I11" s="275"/>
      <c r="J11" s="276"/>
    </row>
    <row r="12" spans="1:13" ht="30" customHeight="1" x14ac:dyDescent="0.2">
      <c r="A12" s="233">
        <v>2</v>
      </c>
      <c r="B12" s="234">
        <v>807</v>
      </c>
      <c r="C12" s="250" t="s">
        <v>82</v>
      </c>
      <c r="D12" s="250"/>
      <c r="E12" s="268" t="s">
        <v>83</v>
      </c>
      <c r="F12" s="268"/>
      <c r="G12" s="268"/>
      <c r="H12" s="268"/>
      <c r="I12" s="268"/>
      <c r="J12" s="269"/>
    </row>
    <row r="13" spans="1:13" ht="28.5" customHeight="1" x14ac:dyDescent="0.2">
      <c r="A13" s="233">
        <v>3</v>
      </c>
      <c r="B13" s="234">
        <v>807</v>
      </c>
      <c r="C13" s="250" t="s">
        <v>4</v>
      </c>
      <c r="D13" s="250"/>
      <c r="E13" s="268" t="s">
        <v>84</v>
      </c>
      <c r="F13" s="268"/>
      <c r="G13" s="268"/>
      <c r="H13" s="268"/>
      <c r="I13" s="268"/>
      <c r="J13" s="269"/>
    </row>
    <row r="14" spans="1:13" ht="28.5" customHeight="1" x14ac:dyDescent="0.2">
      <c r="A14" s="233">
        <v>4</v>
      </c>
      <c r="B14" s="234">
        <v>807</v>
      </c>
      <c r="C14" s="250" t="s">
        <v>5</v>
      </c>
      <c r="D14" s="250"/>
      <c r="E14" s="268" t="s">
        <v>85</v>
      </c>
      <c r="F14" s="268"/>
      <c r="G14" s="268"/>
      <c r="H14" s="268"/>
      <c r="I14" s="268"/>
      <c r="J14" s="269"/>
    </row>
    <row r="15" spans="1:13" ht="21.75" customHeight="1" x14ac:dyDescent="0.2">
      <c r="A15" s="233">
        <v>5</v>
      </c>
      <c r="B15" s="234">
        <v>807</v>
      </c>
      <c r="C15" s="250" t="s">
        <v>266</v>
      </c>
      <c r="D15" s="250"/>
      <c r="E15" s="256" t="s">
        <v>267</v>
      </c>
      <c r="F15" s="256"/>
      <c r="G15" s="256"/>
      <c r="H15" s="256"/>
      <c r="I15" s="256"/>
      <c r="J15" s="257"/>
    </row>
    <row r="16" spans="1:13" ht="33.75" customHeight="1" x14ac:dyDescent="0.2">
      <c r="A16" s="233">
        <v>6</v>
      </c>
      <c r="B16" s="234">
        <v>807</v>
      </c>
      <c r="C16" s="250" t="s">
        <v>60</v>
      </c>
      <c r="D16" s="250"/>
      <c r="E16" s="256" t="s">
        <v>86</v>
      </c>
      <c r="F16" s="256"/>
      <c r="G16" s="256"/>
      <c r="H16" s="256"/>
      <c r="I16" s="256"/>
      <c r="J16" s="257"/>
    </row>
    <row r="17" spans="1:10" ht="43.5" customHeight="1" x14ac:dyDescent="0.2">
      <c r="A17" s="233">
        <v>7</v>
      </c>
      <c r="B17" s="234">
        <v>807</v>
      </c>
      <c r="C17" s="250" t="s">
        <v>59</v>
      </c>
      <c r="D17" s="261"/>
      <c r="E17" s="251" t="s">
        <v>87</v>
      </c>
      <c r="F17" s="251"/>
      <c r="G17" s="251"/>
      <c r="H17" s="251"/>
      <c r="I17" s="251"/>
      <c r="J17" s="252"/>
    </row>
    <row r="18" spans="1:10" ht="17.25" customHeight="1" x14ac:dyDescent="0.2">
      <c r="A18" s="233">
        <v>8</v>
      </c>
      <c r="B18" s="234">
        <v>807</v>
      </c>
      <c r="C18" s="250" t="s">
        <v>377</v>
      </c>
      <c r="D18" s="250"/>
      <c r="E18" s="251" t="s">
        <v>421</v>
      </c>
      <c r="F18" s="251"/>
      <c r="G18" s="251"/>
      <c r="H18" s="251"/>
      <c r="I18" s="251"/>
      <c r="J18" s="252"/>
    </row>
    <row r="19" spans="1:10" ht="27.75" customHeight="1" x14ac:dyDescent="0.2">
      <c r="A19" s="233">
        <v>9</v>
      </c>
      <c r="B19" s="234">
        <v>807</v>
      </c>
      <c r="C19" s="250" t="s">
        <v>410</v>
      </c>
      <c r="D19" s="250"/>
      <c r="E19" s="251" t="s">
        <v>422</v>
      </c>
      <c r="F19" s="251"/>
      <c r="G19" s="251"/>
      <c r="H19" s="251"/>
      <c r="I19" s="251"/>
      <c r="J19" s="252"/>
    </row>
    <row r="20" spans="1:10" ht="19.5" customHeight="1" x14ac:dyDescent="0.2">
      <c r="A20" s="233">
        <v>10</v>
      </c>
      <c r="B20" s="234">
        <v>807</v>
      </c>
      <c r="C20" s="250" t="s">
        <v>7</v>
      </c>
      <c r="D20" s="250"/>
      <c r="E20" s="273" t="s">
        <v>88</v>
      </c>
      <c r="F20" s="273"/>
      <c r="G20" s="273"/>
      <c r="H20" s="273"/>
      <c r="I20" s="273"/>
      <c r="J20" s="274"/>
    </row>
    <row r="21" spans="1:10" ht="18" customHeight="1" x14ac:dyDescent="0.2">
      <c r="A21" s="233">
        <v>11</v>
      </c>
      <c r="B21" s="234">
        <v>807</v>
      </c>
      <c r="C21" s="250" t="s">
        <v>423</v>
      </c>
      <c r="D21" s="250"/>
      <c r="E21" s="273" t="s">
        <v>424</v>
      </c>
      <c r="F21" s="273"/>
      <c r="G21" s="273"/>
      <c r="H21" s="273"/>
      <c r="I21" s="273"/>
      <c r="J21" s="274"/>
    </row>
    <row r="22" spans="1:10" ht="16.5" customHeight="1" x14ac:dyDescent="0.2">
      <c r="A22" s="233">
        <v>12</v>
      </c>
      <c r="B22" s="234">
        <v>807</v>
      </c>
      <c r="C22" s="250" t="s">
        <v>425</v>
      </c>
      <c r="D22" s="250"/>
      <c r="E22" s="273" t="s">
        <v>426</v>
      </c>
      <c r="F22" s="273"/>
      <c r="G22" s="273"/>
      <c r="H22" s="273"/>
      <c r="I22" s="273"/>
      <c r="J22" s="274"/>
    </row>
    <row r="23" spans="1:10" ht="27.75" customHeight="1" x14ac:dyDescent="0.2">
      <c r="A23" s="233">
        <v>13</v>
      </c>
      <c r="B23" s="234">
        <v>807</v>
      </c>
      <c r="C23" s="250" t="s">
        <v>427</v>
      </c>
      <c r="D23" s="250"/>
      <c r="E23" s="251" t="s">
        <v>428</v>
      </c>
      <c r="F23" s="251"/>
      <c r="G23" s="251"/>
      <c r="H23" s="251"/>
      <c r="I23" s="251"/>
      <c r="J23" s="252"/>
    </row>
    <row r="24" spans="1:10" ht="56.25" customHeight="1" x14ac:dyDescent="0.2">
      <c r="A24" s="233">
        <v>14</v>
      </c>
      <c r="B24" s="234">
        <v>807</v>
      </c>
      <c r="C24" s="272" t="s">
        <v>245</v>
      </c>
      <c r="D24" s="272"/>
      <c r="E24" s="251" t="s">
        <v>291</v>
      </c>
      <c r="F24" s="251"/>
      <c r="G24" s="251"/>
      <c r="H24" s="251"/>
      <c r="I24" s="251"/>
      <c r="J24" s="252"/>
    </row>
    <row r="25" spans="1:10" ht="68.25" customHeight="1" x14ac:dyDescent="0.2">
      <c r="A25" s="233">
        <v>15</v>
      </c>
      <c r="B25" s="234">
        <v>807</v>
      </c>
      <c r="C25" s="272" t="s">
        <v>246</v>
      </c>
      <c r="D25" s="272"/>
      <c r="E25" s="251" t="s">
        <v>292</v>
      </c>
      <c r="F25" s="251"/>
      <c r="G25" s="251"/>
      <c r="H25" s="251"/>
      <c r="I25" s="251"/>
      <c r="J25" s="252"/>
    </row>
    <row r="26" spans="1:10" ht="17.25" customHeight="1" x14ac:dyDescent="0.2">
      <c r="A26" s="233">
        <v>16</v>
      </c>
      <c r="B26" s="234">
        <v>807</v>
      </c>
      <c r="C26" s="272" t="s">
        <v>247</v>
      </c>
      <c r="D26" s="272"/>
      <c r="E26" s="251" t="s">
        <v>293</v>
      </c>
      <c r="F26" s="251"/>
      <c r="G26" s="251"/>
      <c r="H26" s="251"/>
      <c r="I26" s="251"/>
      <c r="J26" s="252"/>
    </row>
    <row r="27" spans="1:10" ht="45" customHeight="1" x14ac:dyDescent="0.2">
      <c r="A27" s="233">
        <v>17</v>
      </c>
      <c r="B27" s="234">
        <v>807</v>
      </c>
      <c r="C27" s="272" t="s">
        <v>248</v>
      </c>
      <c r="D27" s="272"/>
      <c r="E27" s="268" t="s">
        <v>294</v>
      </c>
      <c r="F27" s="268"/>
      <c r="G27" s="268"/>
      <c r="H27" s="268"/>
      <c r="I27" s="268"/>
      <c r="J27" s="269"/>
    </row>
    <row r="28" spans="1:10" ht="53.25" customHeight="1" x14ac:dyDescent="0.2">
      <c r="A28" s="233">
        <v>18</v>
      </c>
      <c r="B28" s="234">
        <v>807</v>
      </c>
      <c r="C28" s="272" t="s">
        <v>249</v>
      </c>
      <c r="D28" s="272"/>
      <c r="E28" s="268" t="s">
        <v>295</v>
      </c>
      <c r="F28" s="268"/>
      <c r="G28" s="268"/>
      <c r="H28" s="268"/>
      <c r="I28" s="268"/>
      <c r="J28" s="269"/>
    </row>
    <row r="29" spans="1:10" ht="15" customHeight="1" x14ac:dyDescent="0.2">
      <c r="A29" s="233">
        <v>19</v>
      </c>
      <c r="B29" s="234">
        <v>807</v>
      </c>
      <c r="C29" s="250" t="s">
        <v>250</v>
      </c>
      <c r="D29" s="250"/>
      <c r="E29" s="268" t="s">
        <v>50</v>
      </c>
      <c r="F29" s="268"/>
      <c r="G29" s="268"/>
      <c r="H29" s="268"/>
      <c r="I29" s="268"/>
      <c r="J29" s="269"/>
    </row>
    <row r="30" spans="1:10" ht="20.25" customHeight="1" x14ac:dyDescent="0.2">
      <c r="A30" s="233">
        <v>20</v>
      </c>
      <c r="B30" s="234">
        <v>807</v>
      </c>
      <c r="C30" s="250" t="s">
        <v>251</v>
      </c>
      <c r="D30" s="250"/>
      <c r="E30" s="256" t="s">
        <v>203</v>
      </c>
      <c r="F30" s="270"/>
      <c r="G30" s="270"/>
      <c r="H30" s="270"/>
      <c r="I30" s="270"/>
      <c r="J30" s="271"/>
    </row>
    <row r="31" spans="1:10" ht="16.5" customHeight="1" x14ac:dyDescent="0.2">
      <c r="A31" s="233">
        <v>21</v>
      </c>
      <c r="B31" s="234">
        <v>807</v>
      </c>
      <c r="C31" s="250" t="s">
        <v>252</v>
      </c>
      <c r="D31" s="250"/>
      <c r="E31" s="256" t="s">
        <v>204</v>
      </c>
      <c r="F31" s="270"/>
      <c r="G31" s="270"/>
      <c r="H31" s="270"/>
      <c r="I31" s="270"/>
      <c r="J31" s="271"/>
    </row>
    <row r="32" spans="1:10" ht="43.5" customHeight="1" x14ac:dyDescent="0.2">
      <c r="A32" s="233">
        <v>22</v>
      </c>
      <c r="B32" s="234">
        <v>807</v>
      </c>
      <c r="C32" s="250" t="s">
        <v>296</v>
      </c>
      <c r="D32" s="250"/>
      <c r="E32" s="256" t="s">
        <v>297</v>
      </c>
      <c r="F32" s="256"/>
      <c r="G32" s="256"/>
      <c r="H32" s="256"/>
      <c r="I32" s="256"/>
      <c r="J32" s="257"/>
    </row>
    <row r="33" spans="1:10" ht="40.5" customHeight="1" x14ac:dyDescent="0.2">
      <c r="A33" s="233">
        <v>23</v>
      </c>
      <c r="B33" s="234">
        <v>807</v>
      </c>
      <c r="C33" s="250" t="s">
        <v>253</v>
      </c>
      <c r="D33" s="250"/>
      <c r="E33" s="256" t="s">
        <v>298</v>
      </c>
      <c r="F33" s="256"/>
      <c r="G33" s="256"/>
      <c r="H33" s="256"/>
      <c r="I33" s="256"/>
      <c r="J33" s="257"/>
    </row>
    <row r="34" spans="1:10" ht="40.5" customHeight="1" x14ac:dyDescent="0.2">
      <c r="A34" s="233">
        <v>24</v>
      </c>
      <c r="B34" s="234">
        <v>807</v>
      </c>
      <c r="C34" s="250" t="s">
        <v>254</v>
      </c>
      <c r="D34" s="250"/>
      <c r="E34" s="256" t="s">
        <v>299</v>
      </c>
      <c r="F34" s="256"/>
      <c r="G34" s="256"/>
      <c r="H34" s="256"/>
      <c r="I34" s="256"/>
      <c r="J34" s="257"/>
    </row>
    <row r="35" spans="1:10" ht="36.75" customHeight="1" x14ac:dyDescent="0.2">
      <c r="A35" s="233">
        <v>25</v>
      </c>
      <c r="B35" s="234">
        <v>807</v>
      </c>
      <c r="C35" s="250" t="s">
        <v>461</v>
      </c>
      <c r="D35" s="250"/>
      <c r="E35" s="256" t="s">
        <v>462</v>
      </c>
      <c r="F35" s="256"/>
      <c r="G35" s="256"/>
      <c r="H35" s="256"/>
      <c r="I35" s="256"/>
      <c r="J35" s="257"/>
    </row>
    <row r="36" spans="1:10" ht="15.75" customHeight="1" x14ac:dyDescent="0.2">
      <c r="A36" s="233">
        <v>26</v>
      </c>
      <c r="B36" s="234">
        <v>807</v>
      </c>
      <c r="C36" s="258" t="s">
        <v>378</v>
      </c>
      <c r="D36" s="258"/>
      <c r="E36" s="138" t="s">
        <v>379</v>
      </c>
      <c r="F36" s="138"/>
      <c r="G36" s="138"/>
      <c r="H36" s="138"/>
      <c r="I36" s="138"/>
      <c r="J36" s="235"/>
    </row>
    <row r="37" spans="1:10" ht="40.5" customHeight="1" x14ac:dyDescent="0.2">
      <c r="A37" s="233">
        <v>27</v>
      </c>
      <c r="B37" s="234">
        <v>807</v>
      </c>
      <c r="C37" s="250" t="s">
        <v>380</v>
      </c>
      <c r="D37" s="250"/>
      <c r="E37" s="253" t="s">
        <v>429</v>
      </c>
      <c r="F37" s="254"/>
      <c r="G37" s="254"/>
      <c r="H37" s="254"/>
      <c r="I37" s="254"/>
      <c r="J37" s="255"/>
    </row>
    <row r="38" spans="1:10" ht="28.5" customHeight="1" x14ac:dyDescent="0.2">
      <c r="A38" s="233">
        <v>28</v>
      </c>
      <c r="B38" s="234">
        <v>807</v>
      </c>
      <c r="C38" s="250" t="s">
        <v>430</v>
      </c>
      <c r="D38" s="250"/>
      <c r="E38" s="253" t="s">
        <v>431</v>
      </c>
      <c r="F38" s="254"/>
      <c r="G38" s="254"/>
      <c r="H38" s="254"/>
      <c r="I38" s="254"/>
      <c r="J38" s="255"/>
    </row>
    <row r="39" spans="1:10" ht="12.75" customHeight="1" x14ac:dyDescent="0.2">
      <c r="A39" s="233">
        <v>29</v>
      </c>
      <c r="B39" s="234">
        <v>807</v>
      </c>
      <c r="C39" s="250" t="s">
        <v>6</v>
      </c>
      <c r="D39" s="250"/>
      <c r="E39" s="251" t="s">
        <v>432</v>
      </c>
      <c r="F39" s="251"/>
      <c r="G39" s="251"/>
      <c r="H39" s="251"/>
      <c r="I39" s="251"/>
      <c r="J39" s="252"/>
    </row>
    <row r="40" spans="1:10" ht="44.25" customHeight="1" x14ac:dyDescent="0.2">
      <c r="A40" s="233">
        <v>30</v>
      </c>
      <c r="B40" s="234">
        <v>807</v>
      </c>
      <c r="C40" s="250" t="s">
        <v>433</v>
      </c>
      <c r="D40" s="250"/>
      <c r="E40" s="251" t="s">
        <v>434</v>
      </c>
      <c r="F40" s="251"/>
      <c r="G40" s="251"/>
      <c r="H40" s="251"/>
      <c r="I40" s="251"/>
      <c r="J40" s="252"/>
    </row>
    <row r="41" spans="1:10" ht="15.75" customHeight="1" x14ac:dyDescent="0.2">
      <c r="A41" s="233">
        <v>31</v>
      </c>
      <c r="B41" s="234">
        <v>807</v>
      </c>
      <c r="C41" s="250" t="s">
        <v>450</v>
      </c>
      <c r="D41" s="250"/>
      <c r="E41" s="251" t="s">
        <v>463</v>
      </c>
      <c r="F41" s="251"/>
      <c r="G41" s="251"/>
      <c r="H41" s="251"/>
      <c r="I41" s="251"/>
      <c r="J41" s="252"/>
    </row>
    <row r="42" spans="1:10" ht="18" customHeight="1" x14ac:dyDescent="0.2">
      <c r="A42" s="233">
        <v>32</v>
      </c>
      <c r="B42" s="234">
        <v>807</v>
      </c>
      <c r="C42" s="250" t="s">
        <v>464</v>
      </c>
      <c r="D42" s="250"/>
      <c r="E42" s="251" t="s">
        <v>465</v>
      </c>
      <c r="F42" s="251"/>
      <c r="G42" s="251"/>
      <c r="H42" s="251"/>
      <c r="I42" s="251"/>
      <c r="J42" s="252"/>
    </row>
    <row r="43" spans="1:10" ht="18" customHeight="1" x14ac:dyDescent="0.2">
      <c r="A43" s="233">
        <v>33</v>
      </c>
      <c r="B43" s="234">
        <v>807</v>
      </c>
      <c r="C43" s="250" t="s">
        <v>466</v>
      </c>
      <c r="D43" s="250"/>
      <c r="E43" s="251" t="s">
        <v>467</v>
      </c>
      <c r="F43" s="251"/>
      <c r="G43" s="251"/>
      <c r="H43" s="251"/>
      <c r="I43" s="251"/>
      <c r="J43" s="252"/>
    </row>
    <row r="44" spans="1:10" ht="30.75" customHeight="1" x14ac:dyDescent="0.2">
      <c r="A44" s="233">
        <v>34</v>
      </c>
      <c r="B44" s="234">
        <v>807</v>
      </c>
      <c r="C44" s="250" t="s">
        <v>442</v>
      </c>
      <c r="D44" s="250"/>
      <c r="E44" s="251" t="s">
        <v>443</v>
      </c>
      <c r="F44" s="251"/>
      <c r="G44" s="251"/>
      <c r="H44" s="251"/>
      <c r="I44" s="251"/>
      <c r="J44" s="252"/>
    </row>
    <row r="45" spans="1:10" ht="30.75" customHeight="1" x14ac:dyDescent="0.2">
      <c r="A45" s="233">
        <v>35</v>
      </c>
      <c r="B45" s="234">
        <v>807</v>
      </c>
      <c r="C45" s="250" t="s">
        <v>444</v>
      </c>
      <c r="D45" s="250"/>
      <c r="E45" s="251" t="s">
        <v>468</v>
      </c>
      <c r="F45" s="251"/>
      <c r="G45" s="251"/>
      <c r="H45" s="251"/>
      <c r="I45" s="251"/>
      <c r="J45" s="252"/>
    </row>
    <row r="46" spans="1:10" ht="19.5" customHeight="1" thickBot="1" x14ac:dyDescent="0.25">
      <c r="A46" s="236">
        <v>36</v>
      </c>
      <c r="B46" s="237">
        <v>807</v>
      </c>
      <c r="C46" s="265" t="s">
        <v>492</v>
      </c>
      <c r="D46" s="265"/>
      <c r="E46" s="266" t="s">
        <v>493</v>
      </c>
      <c r="F46" s="266"/>
      <c r="G46" s="266"/>
      <c r="H46" s="266"/>
      <c r="I46" s="266"/>
      <c r="J46" s="267"/>
    </row>
  </sheetData>
  <mergeCells count="78">
    <mergeCell ref="C41:D41"/>
    <mergeCell ref="E41:J41"/>
    <mergeCell ref="C42:D42"/>
    <mergeCell ref="E42:J42"/>
    <mergeCell ref="E11:J11"/>
    <mergeCell ref="C11:D11"/>
    <mergeCell ref="C12:D12"/>
    <mergeCell ref="E17:J17"/>
    <mergeCell ref="C23:D23"/>
    <mergeCell ref="C15:D15"/>
    <mergeCell ref="E15:J15"/>
    <mergeCell ref="E12:J12"/>
    <mergeCell ref="C19:D19"/>
    <mergeCell ref="C18:D18"/>
    <mergeCell ref="C22:D22"/>
    <mergeCell ref="E19:J19"/>
    <mergeCell ref="C21:D21"/>
    <mergeCell ref="E21:J21"/>
    <mergeCell ref="E13:J13"/>
    <mergeCell ref="E16:J16"/>
    <mergeCell ref="C17:D17"/>
    <mergeCell ref="C20:D20"/>
    <mergeCell ref="E14:J14"/>
    <mergeCell ref="C14:D14"/>
    <mergeCell ref="C16:D16"/>
    <mergeCell ref="C13:D13"/>
    <mergeCell ref="E20:J20"/>
    <mergeCell ref="E18:J18"/>
    <mergeCell ref="E25:J25"/>
    <mergeCell ref="C25:D25"/>
    <mergeCell ref="E22:J22"/>
    <mergeCell ref="E30:J30"/>
    <mergeCell ref="C27:D27"/>
    <mergeCell ref="C28:D28"/>
    <mergeCell ref="E28:J28"/>
    <mergeCell ref="E24:J24"/>
    <mergeCell ref="C24:D24"/>
    <mergeCell ref="C26:D26"/>
    <mergeCell ref="E23:J23"/>
    <mergeCell ref="C46:D46"/>
    <mergeCell ref="E46:J46"/>
    <mergeCell ref="C32:D32"/>
    <mergeCell ref="E32:J32"/>
    <mergeCell ref="E26:J26"/>
    <mergeCell ref="C38:D38"/>
    <mergeCell ref="E38:J38"/>
    <mergeCell ref="C29:D29"/>
    <mergeCell ref="E29:J29"/>
    <mergeCell ref="C30:D30"/>
    <mergeCell ref="E27:J27"/>
    <mergeCell ref="E33:J33"/>
    <mergeCell ref="C34:D34"/>
    <mergeCell ref="E31:J31"/>
    <mergeCell ref="E34:J34"/>
    <mergeCell ref="C33:D33"/>
    <mergeCell ref="A5:J5"/>
    <mergeCell ref="C8:D8"/>
    <mergeCell ref="E8:J8"/>
    <mergeCell ref="A10:J10"/>
    <mergeCell ref="B6:J6"/>
    <mergeCell ref="C9:D9"/>
    <mergeCell ref="E9:J9"/>
    <mergeCell ref="C45:D45"/>
    <mergeCell ref="E45:J45"/>
    <mergeCell ref="C31:D31"/>
    <mergeCell ref="C35:D35"/>
    <mergeCell ref="C39:D39"/>
    <mergeCell ref="E39:J39"/>
    <mergeCell ref="C37:D37"/>
    <mergeCell ref="E37:J37"/>
    <mergeCell ref="E35:J35"/>
    <mergeCell ref="C36:D36"/>
    <mergeCell ref="C44:D44"/>
    <mergeCell ref="E44:J44"/>
    <mergeCell ref="C43:D43"/>
    <mergeCell ref="E43:J43"/>
    <mergeCell ref="C40:D40"/>
    <mergeCell ref="E40:J40"/>
  </mergeCells>
  <pageMargins left="0.70866141732283472" right="0.39370078740157483" top="0.31496062992125984" bottom="0.35433070866141736" header="0.19685039370078741" footer="0.19685039370078741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36"/>
  <sheetViews>
    <sheetView view="pageBreakPreview" topLeftCell="J1" zoomScaleSheetLayoutView="100" workbookViewId="0">
      <selection activeCell="H3" sqref="H3:M3"/>
    </sheetView>
  </sheetViews>
  <sheetFormatPr defaultRowHeight="12.75" x14ac:dyDescent="0.2"/>
  <cols>
    <col min="1" max="1" width="4.28515625" style="1" hidden="1" customWidth="1"/>
    <col min="2" max="2" width="5.42578125" style="1" hidden="1" customWidth="1"/>
    <col min="3" max="3" width="4.28515625" style="1" hidden="1" customWidth="1"/>
    <col min="4" max="4" width="5" style="1" hidden="1" customWidth="1"/>
    <col min="5" max="5" width="4.5703125" style="1" hidden="1" customWidth="1"/>
    <col min="6" max="6" width="5.5703125" style="1" hidden="1" customWidth="1"/>
    <col min="7" max="7" width="4.5703125" style="1" hidden="1" customWidth="1"/>
    <col min="8" max="8" width="7" style="1" hidden="1" customWidth="1"/>
    <col min="9" max="9" width="0" style="1" hidden="1" customWidth="1"/>
    <col min="10" max="10" width="6.85546875" style="1" customWidth="1"/>
    <col min="11" max="11" width="25.85546875" style="1" customWidth="1"/>
    <col min="12" max="12" width="68.5703125" style="1" customWidth="1"/>
    <col min="13" max="13" width="15.42578125" style="1" customWidth="1"/>
    <col min="14" max="14" width="9.140625" style="1"/>
    <col min="15" max="15" width="10.85546875" style="1" bestFit="1" customWidth="1"/>
    <col min="16" max="16" width="10" style="1" bestFit="1" customWidth="1"/>
    <col min="17" max="17" width="11.42578125" style="1" customWidth="1"/>
    <col min="18" max="16384" width="9.140625" style="1"/>
  </cols>
  <sheetData>
    <row r="1" spans="1:17" ht="15.75" x14ac:dyDescent="0.25">
      <c r="E1" s="14"/>
      <c r="F1" s="8"/>
      <c r="G1" s="8"/>
      <c r="H1" s="8"/>
      <c r="I1" s="285" t="s">
        <v>417</v>
      </c>
      <c r="J1" s="285"/>
      <c r="K1" s="285"/>
      <c r="L1" s="286"/>
      <c r="M1" s="286"/>
    </row>
    <row r="2" spans="1:17" ht="15.75" x14ac:dyDescent="0.25">
      <c r="E2" s="287" t="s">
        <v>394</v>
      </c>
      <c r="F2" s="287"/>
      <c r="G2" s="287"/>
      <c r="H2" s="287"/>
      <c r="I2" s="287"/>
      <c r="J2" s="287"/>
      <c r="K2" s="287"/>
      <c r="L2" s="288"/>
      <c r="M2" s="288"/>
    </row>
    <row r="3" spans="1:17" ht="15.75" x14ac:dyDescent="0.25">
      <c r="E3" s="15"/>
      <c r="F3" s="139"/>
      <c r="G3" s="139"/>
      <c r="H3" s="286" t="s">
        <v>514</v>
      </c>
      <c r="I3" s="286"/>
      <c r="J3" s="286"/>
      <c r="K3" s="286"/>
      <c r="L3" s="286"/>
      <c r="M3" s="286"/>
    </row>
    <row r="5" spans="1:17" ht="48.75" customHeight="1" x14ac:dyDescent="0.3">
      <c r="A5" s="289" t="s">
        <v>499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</row>
    <row r="7" spans="1:17" x14ac:dyDescent="0.2">
      <c r="M7" s="136" t="s">
        <v>376</v>
      </c>
    </row>
    <row r="8" spans="1:17" ht="12.75" customHeight="1" x14ac:dyDescent="0.2">
      <c r="A8" s="290" t="s">
        <v>53</v>
      </c>
      <c r="B8" s="292" t="s">
        <v>89</v>
      </c>
      <c r="C8" s="293"/>
      <c r="D8" s="293"/>
      <c r="E8" s="293"/>
      <c r="F8" s="293"/>
      <c r="G8" s="293"/>
      <c r="H8" s="293"/>
      <c r="I8" s="294"/>
      <c r="J8" s="280" t="s">
        <v>53</v>
      </c>
      <c r="K8" s="260" t="s">
        <v>318</v>
      </c>
      <c r="L8" s="296" t="s">
        <v>319</v>
      </c>
      <c r="M8" s="278">
        <v>2022</v>
      </c>
    </row>
    <row r="9" spans="1:17" ht="163.5" x14ac:dyDescent="0.2">
      <c r="A9" s="291"/>
      <c r="B9" s="144" t="s">
        <v>91</v>
      </c>
      <c r="C9" s="144" t="s">
        <v>92</v>
      </c>
      <c r="D9" s="144" t="s">
        <v>93</v>
      </c>
      <c r="E9" s="144" t="s">
        <v>94</v>
      </c>
      <c r="F9" s="144" t="s">
        <v>95</v>
      </c>
      <c r="G9" s="144" t="s">
        <v>96</v>
      </c>
      <c r="H9" s="144" t="s">
        <v>97</v>
      </c>
      <c r="I9" s="144" t="s">
        <v>98</v>
      </c>
      <c r="J9" s="281"/>
      <c r="K9" s="295"/>
      <c r="L9" s="297"/>
      <c r="M9" s="279"/>
    </row>
    <row r="10" spans="1:17" s="3" customFormat="1" x14ac:dyDescent="0.2">
      <c r="A10" s="145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/>
      <c r="K10" s="80">
        <v>2</v>
      </c>
      <c r="L10" s="21">
        <v>3</v>
      </c>
      <c r="M10" s="21">
        <v>4</v>
      </c>
    </row>
    <row r="11" spans="1:17" x14ac:dyDescent="0.2">
      <c r="A11" s="98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22" t="s">
        <v>100</v>
      </c>
      <c r="K11" s="124" t="s">
        <v>330</v>
      </c>
      <c r="L11" s="125" t="s">
        <v>353</v>
      </c>
      <c r="M11" s="126">
        <v>0</v>
      </c>
      <c r="O11" s="20"/>
      <c r="P11" s="20"/>
    </row>
    <row r="12" spans="1:17" x14ac:dyDescent="0.2">
      <c r="A12" s="21">
        <v>2</v>
      </c>
      <c r="B12" s="110" t="s">
        <v>103</v>
      </c>
      <c r="C12" s="110" t="s">
        <v>100</v>
      </c>
      <c r="D12" s="110" t="s">
        <v>104</v>
      </c>
      <c r="E12" s="110" t="s">
        <v>105</v>
      </c>
      <c r="F12" s="110" t="s">
        <v>22</v>
      </c>
      <c r="G12" s="110" t="s">
        <v>104</v>
      </c>
      <c r="H12" s="110" t="s">
        <v>102</v>
      </c>
      <c r="I12" s="110" t="s">
        <v>106</v>
      </c>
      <c r="J12" s="110" t="s">
        <v>127</v>
      </c>
      <c r="K12" s="124" t="s">
        <v>331</v>
      </c>
      <c r="L12" s="125" t="s">
        <v>354</v>
      </c>
      <c r="M12" s="126">
        <v>0</v>
      </c>
      <c r="O12" s="20"/>
      <c r="P12" s="20"/>
      <c r="Q12" s="20"/>
    </row>
    <row r="13" spans="1:17" ht="25.5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22" t="s">
        <v>282</v>
      </c>
      <c r="K13" s="124" t="s">
        <v>332</v>
      </c>
      <c r="L13" s="125" t="s">
        <v>355</v>
      </c>
      <c r="M13" s="126">
        <v>0</v>
      </c>
      <c r="O13" s="20"/>
      <c r="P13" s="20"/>
      <c r="Q13" s="20"/>
    </row>
    <row r="14" spans="1:17" ht="25.5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10" t="s">
        <v>283</v>
      </c>
      <c r="K14" s="124" t="s">
        <v>333</v>
      </c>
      <c r="L14" s="125" t="s">
        <v>356</v>
      </c>
      <c r="M14" s="126">
        <v>0</v>
      </c>
      <c r="O14" s="20"/>
      <c r="P14" s="20"/>
      <c r="Q14" s="20"/>
    </row>
    <row r="15" spans="1:17" ht="25.5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258</v>
      </c>
      <c r="G15" s="22" t="s">
        <v>104</v>
      </c>
      <c r="H15" s="22" t="s">
        <v>102</v>
      </c>
      <c r="I15" s="22" t="s">
        <v>106</v>
      </c>
      <c r="J15" s="22" t="s">
        <v>284</v>
      </c>
      <c r="K15" s="124" t="s">
        <v>334</v>
      </c>
      <c r="L15" s="125" t="s">
        <v>357</v>
      </c>
      <c r="M15" s="126">
        <v>0</v>
      </c>
      <c r="O15" s="20"/>
      <c r="P15" s="20"/>
      <c r="Q15" s="20"/>
    </row>
    <row r="16" spans="1:17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259</v>
      </c>
      <c r="G16" s="22" t="s">
        <v>104</v>
      </c>
      <c r="H16" s="22" t="s">
        <v>102</v>
      </c>
      <c r="I16" s="22" t="s">
        <v>106</v>
      </c>
      <c r="J16" s="110" t="s">
        <v>290</v>
      </c>
      <c r="K16" s="124" t="s">
        <v>335</v>
      </c>
      <c r="L16" s="125" t="s">
        <v>358</v>
      </c>
      <c r="M16" s="127">
        <f>M17+M21</f>
        <v>-996978.12999999896</v>
      </c>
      <c r="O16" s="20"/>
      <c r="P16" s="20"/>
      <c r="Q16" s="20"/>
    </row>
    <row r="17" spans="1:17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2" t="s">
        <v>320</v>
      </c>
      <c r="K17" s="124" t="s">
        <v>336</v>
      </c>
      <c r="L17" s="125" t="s">
        <v>359</v>
      </c>
      <c r="M17" s="127">
        <v>-15520032.619999999</v>
      </c>
      <c r="O17" s="20"/>
      <c r="P17" s="20"/>
      <c r="Q17" s="20"/>
    </row>
    <row r="18" spans="1:17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260</v>
      </c>
      <c r="G18" s="22" t="s">
        <v>104</v>
      </c>
      <c r="H18" s="22" t="s">
        <v>102</v>
      </c>
      <c r="I18" s="22" t="s">
        <v>106</v>
      </c>
      <c r="J18" s="110" t="s">
        <v>321</v>
      </c>
      <c r="K18" s="124" t="s">
        <v>348</v>
      </c>
      <c r="L18" s="125" t="s">
        <v>360</v>
      </c>
      <c r="M18" s="127">
        <f>M17</f>
        <v>-15520032.619999999</v>
      </c>
      <c r="O18" s="20"/>
      <c r="P18" s="20"/>
      <c r="Q18" s="20"/>
    </row>
    <row r="19" spans="1:17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22" t="s">
        <v>322</v>
      </c>
      <c r="K19" s="124" t="s">
        <v>349</v>
      </c>
      <c r="L19" s="125" t="s">
        <v>361</v>
      </c>
      <c r="M19" s="127">
        <f>M18</f>
        <v>-15520032.619999999</v>
      </c>
      <c r="O19" s="20"/>
      <c r="P19" s="20"/>
      <c r="Q19" s="20"/>
    </row>
    <row r="20" spans="1:17" ht="25.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10" t="s">
        <v>119</v>
      </c>
      <c r="K20" s="124" t="s">
        <v>350</v>
      </c>
      <c r="L20" s="125" t="s">
        <v>362</v>
      </c>
      <c r="M20" s="127">
        <f>M19</f>
        <v>-15520032.619999999</v>
      </c>
      <c r="O20" s="20"/>
      <c r="P20" s="20"/>
      <c r="Q20" s="20"/>
    </row>
    <row r="21" spans="1:17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22" t="s">
        <v>125</v>
      </c>
      <c r="K21" s="124" t="s">
        <v>351</v>
      </c>
      <c r="L21" s="125" t="s">
        <v>363</v>
      </c>
      <c r="M21" s="127">
        <v>14523054.49</v>
      </c>
      <c r="O21" s="20"/>
      <c r="P21" s="20"/>
      <c r="Q21" s="20"/>
    </row>
    <row r="22" spans="1:17" x14ac:dyDescent="0.2">
      <c r="A22" s="21"/>
      <c r="B22" s="138"/>
      <c r="C22" s="138"/>
      <c r="D22" s="138"/>
      <c r="E22" s="138"/>
      <c r="F22" s="138"/>
      <c r="G22" s="138"/>
      <c r="H22" s="138"/>
      <c r="I22" s="138"/>
      <c r="J22" s="110" t="s">
        <v>323</v>
      </c>
      <c r="K22" s="124" t="s">
        <v>352</v>
      </c>
      <c r="L22" s="125" t="s">
        <v>364</v>
      </c>
      <c r="M22" s="127">
        <f>M21</f>
        <v>14523054.49</v>
      </c>
      <c r="O22" s="20"/>
      <c r="P22" s="20"/>
      <c r="Q22" s="20"/>
    </row>
    <row r="23" spans="1:17" ht="20.25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22" t="s">
        <v>268</v>
      </c>
      <c r="K23" s="124" t="s">
        <v>347</v>
      </c>
      <c r="L23" s="125" t="s">
        <v>365</v>
      </c>
      <c r="M23" s="127">
        <f>M22</f>
        <v>14523054.49</v>
      </c>
      <c r="O23" s="20"/>
      <c r="P23" s="20"/>
      <c r="Q23" s="20"/>
    </row>
    <row r="24" spans="1:17" ht="25.5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10" t="s">
        <v>135</v>
      </c>
      <c r="K24" s="124" t="s">
        <v>346</v>
      </c>
      <c r="L24" s="125" t="s">
        <v>366</v>
      </c>
      <c r="M24" s="127">
        <f>M23</f>
        <v>14523054.49</v>
      </c>
      <c r="O24" s="20"/>
      <c r="P24" s="20"/>
      <c r="Q24" s="20"/>
    </row>
    <row r="25" spans="1:17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22" t="s">
        <v>198</v>
      </c>
      <c r="K25" s="124" t="s">
        <v>345</v>
      </c>
      <c r="L25" s="125" t="s">
        <v>367</v>
      </c>
      <c r="M25" s="126">
        <v>0</v>
      </c>
      <c r="O25" s="20"/>
      <c r="P25" s="20"/>
      <c r="Q25" s="20"/>
    </row>
    <row r="26" spans="1:17" ht="25.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10" t="s">
        <v>305</v>
      </c>
      <c r="K26" s="124" t="s">
        <v>344</v>
      </c>
      <c r="L26" s="125" t="s">
        <v>368</v>
      </c>
      <c r="M26" s="126">
        <v>0</v>
      </c>
      <c r="O26" s="20"/>
      <c r="P26" s="20"/>
      <c r="Q26" s="20"/>
    </row>
    <row r="27" spans="1:17" ht="25.5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22" t="s">
        <v>324</v>
      </c>
      <c r="K27" s="124" t="s">
        <v>343</v>
      </c>
      <c r="L27" s="125" t="s">
        <v>369</v>
      </c>
      <c r="M27" s="126">
        <v>0</v>
      </c>
      <c r="O27" s="20"/>
      <c r="P27" s="20"/>
      <c r="Q27" s="20"/>
    </row>
    <row r="28" spans="1:17" ht="25.5" x14ac:dyDescent="0.2">
      <c r="A28" s="21">
        <v>10</v>
      </c>
      <c r="B28" s="21">
        <v>807</v>
      </c>
      <c r="C28" s="22" t="s">
        <v>100</v>
      </c>
      <c r="D28" s="22" t="s">
        <v>268</v>
      </c>
      <c r="E28" s="22" t="s">
        <v>105</v>
      </c>
      <c r="F28" s="22" t="s">
        <v>269</v>
      </c>
      <c r="G28" s="22" t="s">
        <v>119</v>
      </c>
      <c r="H28" s="22" t="s">
        <v>102</v>
      </c>
      <c r="I28" s="22" t="s">
        <v>270</v>
      </c>
      <c r="J28" s="110" t="s">
        <v>325</v>
      </c>
      <c r="K28" s="124" t="s">
        <v>342</v>
      </c>
      <c r="L28" s="125" t="s">
        <v>370</v>
      </c>
      <c r="M28" s="126">
        <v>0</v>
      </c>
      <c r="O28" s="20"/>
      <c r="P28" s="20"/>
      <c r="Q28" s="20"/>
    </row>
    <row r="29" spans="1:17" ht="25.5" x14ac:dyDescent="0.2">
      <c r="A29" s="21">
        <v>11</v>
      </c>
      <c r="B29" s="21">
        <v>807</v>
      </c>
      <c r="C29" s="22" t="s">
        <v>100</v>
      </c>
      <c r="D29" s="22" t="s">
        <v>135</v>
      </c>
      <c r="E29" s="22" t="s">
        <v>105</v>
      </c>
      <c r="F29" s="22" t="s">
        <v>136</v>
      </c>
      <c r="G29" s="22" t="s">
        <v>119</v>
      </c>
      <c r="H29" s="22" t="s">
        <v>102</v>
      </c>
      <c r="I29" s="22" t="s">
        <v>137</v>
      </c>
      <c r="J29" s="22" t="s">
        <v>326</v>
      </c>
      <c r="K29" s="124" t="s">
        <v>341</v>
      </c>
      <c r="L29" s="125" t="s">
        <v>371</v>
      </c>
      <c r="M29" s="126">
        <v>0</v>
      </c>
      <c r="O29" s="20"/>
      <c r="P29" s="20"/>
      <c r="Q29" s="20"/>
    </row>
    <row r="30" spans="1:17" ht="25.5" x14ac:dyDescent="0.2">
      <c r="A30" s="21">
        <v>12</v>
      </c>
      <c r="B30" s="21">
        <v>807</v>
      </c>
      <c r="C30" s="22" t="s">
        <v>100</v>
      </c>
      <c r="D30" s="22" t="s">
        <v>135</v>
      </c>
      <c r="E30" s="22" t="s">
        <v>110</v>
      </c>
      <c r="F30" s="22" t="s">
        <v>138</v>
      </c>
      <c r="G30" s="22" t="s">
        <v>119</v>
      </c>
      <c r="H30" s="22" t="s">
        <v>102</v>
      </c>
      <c r="I30" s="22" t="s">
        <v>139</v>
      </c>
      <c r="J30" s="110" t="s">
        <v>302</v>
      </c>
      <c r="K30" s="124" t="s">
        <v>340</v>
      </c>
      <c r="L30" s="125" t="s">
        <v>372</v>
      </c>
      <c r="M30" s="126">
        <v>0</v>
      </c>
      <c r="O30" s="20"/>
      <c r="P30" s="20"/>
      <c r="Q30" s="20"/>
    </row>
    <row r="31" spans="1:17" ht="38.25" x14ac:dyDescent="0.2">
      <c r="A31" s="98">
        <v>13</v>
      </c>
      <c r="B31" s="76" t="s">
        <v>22</v>
      </c>
      <c r="C31" s="76" t="s">
        <v>127</v>
      </c>
      <c r="D31" s="76" t="s">
        <v>101</v>
      </c>
      <c r="E31" s="76" t="s">
        <v>101</v>
      </c>
      <c r="F31" s="76" t="s">
        <v>22</v>
      </c>
      <c r="G31" s="76" t="s">
        <v>101</v>
      </c>
      <c r="H31" s="76" t="s">
        <v>102</v>
      </c>
      <c r="I31" s="76" t="s">
        <v>22</v>
      </c>
      <c r="J31" s="22" t="s">
        <v>327</v>
      </c>
      <c r="K31" s="124" t="s">
        <v>339</v>
      </c>
      <c r="L31" s="125" t="s">
        <v>373</v>
      </c>
      <c r="M31" s="126">
        <v>0</v>
      </c>
      <c r="O31" s="20"/>
      <c r="P31" s="20"/>
      <c r="Q31" s="20"/>
    </row>
    <row r="32" spans="1:17" ht="25.5" x14ac:dyDescent="0.2">
      <c r="A32" s="21">
        <v>14</v>
      </c>
      <c r="B32" s="22" t="s">
        <v>129</v>
      </c>
      <c r="C32" s="22" t="s">
        <v>127</v>
      </c>
      <c r="D32" s="22" t="s">
        <v>105</v>
      </c>
      <c r="E32" s="22" t="s">
        <v>198</v>
      </c>
      <c r="F32" s="22" t="s">
        <v>22</v>
      </c>
      <c r="G32" s="22" t="s">
        <v>101</v>
      </c>
      <c r="H32" s="22" t="s">
        <v>102</v>
      </c>
      <c r="I32" s="22" t="s">
        <v>255</v>
      </c>
      <c r="J32" s="110" t="s">
        <v>328</v>
      </c>
      <c r="K32" s="124" t="s">
        <v>338</v>
      </c>
      <c r="L32" s="125" t="s">
        <v>374</v>
      </c>
      <c r="M32" s="126">
        <v>0</v>
      </c>
      <c r="O32" s="20"/>
      <c r="P32" s="20"/>
      <c r="Q32" s="20"/>
    </row>
    <row r="33" spans="1:17" ht="38.25" x14ac:dyDescent="0.2">
      <c r="A33" s="21"/>
      <c r="B33" s="17"/>
      <c r="C33" s="17"/>
      <c r="D33" s="17"/>
      <c r="E33" s="17"/>
      <c r="F33" s="17"/>
      <c r="G33" s="17"/>
      <c r="H33" s="17"/>
      <c r="I33" s="17"/>
      <c r="J33" s="22" t="s">
        <v>329</v>
      </c>
      <c r="K33" s="124" t="s">
        <v>337</v>
      </c>
      <c r="L33" s="125" t="s">
        <v>375</v>
      </c>
      <c r="M33" s="126">
        <v>0</v>
      </c>
      <c r="O33" s="20"/>
      <c r="P33" s="20"/>
      <c r="Q33" s="20"/>
    </row>
    <row r="34" spans="1:17" x14ac:dyDescent="0.2">
      <c r="A34" s="282" t="s">
        <v>133</v>
      </c>
      <c r="B34" s="283"/>
      <c r="C34" s="283"/>
      <c r="D34" s="283"/>
      <c r="E34" s="283"/>
      <c r="F34" s="283"/>
      <c r="G34" s="283"/>
      <c r="H34" s="283"/>
      <c r="I34" s="283"/>
      <c r="J34" s="283"/>
      <c r="K34" s="283"/>
      <c r="L34" s="284"/>
      <c r="M34" s="221">
        <f>M16</f>
        <v>-996978.12999999896</v>
      </c>
      <c r="O34" s="20"/>
      <c r="P34" s="20"/>
      <c r="Q34" s="20"/>
    </row>
    <row r="35" spans="1:17" s="3" customFormat="1" ht="12.75" customHeight="1" x14ac:dyDescent="0.2">
      <c r="K35" s="13"/>
    </row>
    <row r="36" spans="1:17" s="3" customFormat="1" x14ac:dyDescent="0.2">
      <c r="L36" s="28"/>
      <c r="O36" s="81"/>
    </row>
  </sheetData>
  <mergeCells count="11">
    <mergeCell ref="M8:M9"/>
    <mergeCell ref="J8:J9"/>
    <mergeCell ref="A34:L34"/>
    <mergeCell ref="I1:M1"/>
    <mergeCell ref="E2:M2"/>
    <mergeCell ref="H3:M3"/>
    <mergeCell ref="A5:M5"/>
    <mergeCell ref="A8:A9"/>
    <mergeCell ref="B8:I8"/>
    <mergeCell ref="K8:K9"/>
    <mergeCell ref="L8:L9"/>
  </mergeCells>
  <pageMargins left="0.31496062992125984" right="0.15748031496062992" top="0.31496062992125984" bottom="0.27559055118110237" header="0.15748031496062992" footer="0.27559055118110237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9"/>
  <sheetViews>
    <sheetView topLeftCell="F1" workbookViewId="0">
      <selection activeCell="H3" sqref="H3:N3"/>
    </sheetView>
  </sheetViews>
  <sheetFormatPr defaultRowHeight="12.75" x14ac:dyDescent="0.2"/>
  <cols>
    <col min="1" max="1" width="4.28515625" style="1" customWidth="1"/>
    <col min="2" max="2" width="5.42578125" style="1" customWidth="1"/>
    <col min="3" max="3" width="4.28515625" style="1" customWidth="1"/>
    <col min="4" max="4" width="5" style="1" customWidth="1"/>
    <col min="5" max="5" width="4.5703125" style="1" customWidth="1"/>
    <col min="6" max="6" width="5.5703125" style="1" customWidth="1"/>
    <col min="7" max="7" width="4.5703125" style="1" customWidth="1"/>
    <col min="8" max="8" width="7" style="1" customWidth="1"/>
    <col min="9" max="9" width="9.140625" style="1"/>
    <col min="10" max="10" width="37.85546875" style="1" customWidth="1"/>
    <col min="11" max="11" width="12.5703125" style="1" customWidth="1"/>
    <col min="12" max="13" width="12.85546875" style="1" customWidth="1"/>
    <col min="14" max="14" width="12.5703125" style="1" customWidth="1"/>
    <col min="15" max="15" width="9.140625" style="1"/>
    <col min="16" max="16" width="10.85546875" style="1" bestFit="1" customWidth="1"/>
    <col min="17" max="17" width="10" style="1" bestFit="1" customWidth="1"/>
    <col min="18" max="18" width="11.42578125" style="1" customWidth="1"/>
    <col min="19" max="16384" width="9.140625" style="1"/>
  </cols>
  <sheetData>
    <row r="1" spans="1:18" ht="15.75" x14ac:dyDescent="0.25">
      <c r="E1" s="14"/>
      <c r="F1" s="8"/>
      <c r="G1" s="8"/>
      <c r="H1" s="8"/>
      <c r="I1" s="285" t="s">
        <v>408</v>
      </c>
      <c r="J1" s="285"/>
      <c r="K1" s="285"/>
      <c r="L1" s="286"/>
      <c r="M1" s="286"/>
      <c r="N1" s="286"/>
    </row>
    <row r="2" spans="1:18" ht="15.75" x14ac:dyDescent="0.25">
      <c r="E2" s="287" t="s">
        <v>418</v>
      </c>
      <c r="F2" s="287"/>
      <c r="G2" s="287"/>
      <c r="H2" s="287"/>
      <c r="I2" s="287"/>
      <c r="J2" s="287"/>
      <c r="K2" s="287"/>
      <c r="L2" s="288"/>
      <c r="M2" s="288"/>
      <c r="N2" s="288"/>
    </row>
    <row r="3" spans="1:18" ht="15.75" x14ac:dyDescent="0.25">
      <c r="E3" s="15"/>
      <c r="F3" s="139"/>
      <c r="G3" s="139"/>
      <c r="H3" s="286" t="s">
        <v>515</v>
      </c>
      <c r="I3" s="286"/>
      <c r="J3" s="286"/>
      <c r="K3" s="286"/>
      <c r="L3" s="286"/>
      <c r="M3" s="286"/>
      <c r="N3" s="286"/>
    </row>
    <row r="5" spans="1:18" ht="18.75" x14ac:dyDescent="0.3">
      <c r="A5" s="259" t="s">
        <v>500</v>
      </c>
      <c r="B5" s="259"/>
      <c r="C5" s="259"/>
      <c r="D5" s="259"/>
      <c r="E5" s="259"/>
      <c r="F5" s="259"/>
      <c r="G5" s="259"/>
      <c r="H5" s="259"/>
      <c r="I5" s="259"/>
      <c r="J5" s="259"/>
      <c r="K5" s="259"/>
      <c r="L5" s="259"/>
      <c r="M5" s="259"/>
      <c r="N5" s="259"/>
    </row>
    <row r="7" spans="1:18" x14ac:dyDescent="0.2">
      <c r="N7" s="1" t="s">
        <v>75</v>
      </c>
    </row>
    <row r="8" spans="1:18" ht="12.75" customHeight="1" x14ac:dyDescent="0.2">
      <c r="A8" s="299" t="s">
        <v>53</v>
      </c>
      <c r="B8" s="300" t="s">
        <v>89</v>
      </c>
      <c r="C8" s="301"/>
      <c r="D8" s="301"/>
      <c r="E8" s="301"/>
      <c r="F8" s="301"/>
      <c r="G8" s="301"/>
      <c r="H8" s="301"/>
      <c r="I8" s="301"/>
      <c r="J8" s="295" t="s">
        <v>90</v>
      </c>
      <c r="K8" s="296" t="s">
        <v>435</v>
      </c>
      <c r="L8" s="296" t="s">
        <v>502</v>
      </c>
      <c r="M8" s="296" t="s">
        <v>503</v>
      </c>
      <c r="N8" s="302" t="s">
        <v>278</v>
      </c>
    </row>
    <row r="9" spans="1:18" ht="189.75" x14ac:dyDescent="0.2">
      <c r="A9" s="299"/>
      <c r="B9" s="144" t="s">
        <v>91</v>
      </c>
      <c r="C9" s="144" t="s">
        <v>92</v>
      </c>
      <c r="D9" s="144" t="s">
        <v>93</v>
      </c>
      <c r="E9" s="144" t="s">
        <v>94</v>
      </c>
      <c r="F9" s="144" t="s">
        <v>95</v>
      </c>
      <c r="G9" s="144" t="s">
        <v>96</v>
      </c>
      <c r="H9" s="144" t="s">
        <v>97</v>
      </c>
      <c r="I9" s="144" t="s">
        <v>98</v>
      </c>
      <c r="J9" s="295"/>
      <c r="K9" s="297"/>
      <c r="L9" s="297"/>
      <c r="M9" s="297"/>
      <c r="N9" s="303"/>
    </row>
    <row r="10" spans="1:18" s="3" customFormat="1" x14ac:dyDescent="0.2">
      <c r="A10" s="145"/>
      <c r="B10" s="80">
        <v>1</v>
      </c>
      <c r="C10" s="80">
        <v>2</v>
      </c>
      <c r="D10" s="80">
        <v>3</v>
      </c>
      <c r="E10" s="80">
        <v>4</v>
      </c>
      <c r="F10" s="80">
        <v>5</v>
      </c>
      <c r="G10" s="80">
        <v>6</v>
      </c>
      <c r="H10" s="80">
        <v>7</v>
      </c>
      <c r="I10" s="80">
        <v>8</v>
      </c>
      <c r="J10" s="80">
        <v>9</v>
      </c>
      <c r="K10" s="21">
        <v>10</v>
      </c>
      <c r="L10" s="21">
        <v>11</v>
      </c>
      <c r="M10" s="21">
        <v>12</v>
      </c>
      <c r="N10" s="21">
        <v>13</v>
      </c>
    </row>
    <row r="11" spans="1:18" ht="25.5" x14ac:dyDescent="0.2">
      <c r="A11" s="98">
        <v>1</v>
      </c>
      <c r="B11" s="76" t="s">
        <v>22</v>
      </c>
      <c r="C11" s="76" t="s">
        <v>100</v>
      </c>
      <c r="D11" s="76" t="s">
        <v>101</v>
      </c>
      <c r="E11" s="76" t="s">
        <v>101</v>
      </c>
      <c r="F11" s="76" t="s">
        <v>22</v>
      </c>
      <c r="G11" s="76" t="s">
        <v>101</v>
      </c>
      <c r="H11" s="76" t="s">
        <v>102</v>
      </c>
      <c r="I11" s="76" t="s">
        <v>22</v>
      </c>
      <c r="J11" s="146" t="s">
        <v>99</v>
      </c>
      <c r="K11" s="77">
        <f>K12+K13+K19+K20+K21+K25+K26+K27+K30+K31+K28+K32+K33</f>
        <v>5833.1509999999998</v>
      </c>
      <c r="L11" s="77">
        <f t="shared" ref="L11" si="0">L12+L13+L19+L20+L21+L25+L26+L27+L30+L31+L28+L32+L33</f>
        <v>6556.2880000000005</v>
      </c>
      <c r="M11" s="77">
        <f>M12+M13+M19+M20+M21+M25+M26+M27+M30+M31+M28+M32+M33+M29</f>
        <v>6551.6368599999996</v>
      </c>
      <c r="N11" s="82">
        <f>M11/L11*100</f>
        <v>99.92905833300793</v>
      </c>
      <c r="P11" s="20">
        <f>M11*1000</f>
        <v>6551636.8599999994</v>
      </c>
      <c r="Q11" s="20">
        <f>P11-2936425.64</f>
        <v>3615211.2199999993</v>
      </c>
    </row>
    <row r="12" spans="1:18" x14ac:dyDescent="0.2">
      <c r="A12" s="21">
        <v>2</v>
      </c>
      <c r="B12" s="110" t="s">
        <v>103</v>
      </c>
      <c r="C12" s="110" t="s">
        <v>100</v>
      </c>
      <c r="D12" s="110" t="s">
        <v>104</v>
      </c>
      <c r="E12" s="110" t="s">
        <v>105</v>
      </c>
      <c r="F12" s="110" t="s">
        <v>22</v>
      </c>
      <c r="G12" s="110" t="s">
        <v>104</v>
      </c>
      <c r="H12" s="110" t="s">
        <v>102</v>
      </c>
      <c r="I12" s="110" t="s">
        <v>106</v>
      </c>
      <c r="J12" s="137" t="s">
        <v>12</v>
      </c>
      <c r="K12" s="68">
        <v>415.75099999999998</v>
      </c>
      <c r="L12" s="25">
        <v>415.75099999999998</v>
      </c>
      <c r="M12" s="25">
        <v>435.91978999999998</v>
      </c>
      <c r="N12" s="83">
        <f>M12/L12*100</f>
        <v>104.85117053236192</v>
      </c>
      <c r="P12" s="20">
        <f t="shared" ref="P12:P55" si="1">M12*1000</f>
        <v>435919.79</v>
      </c>
      <c r="Q12" s="20"/>
      <c r="R12" s="20"/>
    </row>
    <row r="13" spans="1:18" ht="39.75" customHeight="1" x14ac:dyDescent="0.2">
      <c r="A13" s="21">
        <v>3</v>
      </c>
      <c r="B13" s="22" t="s">
        <v>22</v>
      </c>
      <c r="C13" s="22" t="s">
        <v>100</v>
      </c>
      <c r="D13" s="22" t="s">
        <v>108</v>
      </c>
      <c r="E13" s="22" t="s">
        <v>105</v>
      </c>
      <c r="F13" s="22" t="s">
        <v>130</v>
      </c>
      <c r="G13" s="22" t="s">
        <v>104</v>
      </c>
      <c r="H13" s="22" t="s">
        <v>102</v>
      </c>
      <c r="I13" s="22" t="s">
        <v>106</v>
      </c>
      <c r="J13" s="19" t="s">
        <v>61</v>
      </c>
      <c r="K13" s="68">
        <f>SUM(K15:K18)</f>
        <v>695.2</v>
      </c>
      <c r="L13" s="68">
        <f>SUM(L15:L18)</f>
        <v>736.33500000000004</v>
      </c>
      <c r="M13" s="68">
        <f t="shared" ref="M13" si="2">SUM(M15:M18)</f>
        <v>802.26393000000007</v>
      </c>
      <c r="N13" s="83">
        <f t="shared" ref="N13:N55" si="3">M13/L13*100</f>
        <v>108.95365967935791</v>
      </c>
      <c r="P13" s="20">
        <f t="shared" si="1"/>
        <v>802263.93</v>
      </c>
      <c r="Q13" s="20"/>
      <c r="R13" s="20">
        <v>87892.95</v>
      </c>
    </row>
    <row r="14" spans="1:18" x14ac:dyDescent="0.2">
      <c r="A14" s="21"/>
      <c r="B14" s="22"/>
      <c r="C14" s="22"/>
      <c r="D14" s="22"/>
      <c r="E14" s="22"/>
      <c r="F14" s="22"/>
      <c r="G14" s="22"/>
      <c r="H14" s="22"/>
      <c r="I14" s="22"/>
      <c r="J14" s="19" t="s">
        <v>111</v>
      </c>
      <c r="K14" s="25"/>
      <c r="L14" s="25"/>
      <c r="M14" s="25"/>
      <c r="N14" s="83"/>
      <c r="P14" s="20">
        <f t="shared" si="1"/>
        <v>0</v>
      </c>
      <c r="Q14" s="20"/>
      <c r="R14" s="20"/>
    </row>
    <row r="15" spans="1:18" ht="80.25" customHeight="1" x14ac:dyDescent="0.2">
      <c r="A15" s="22" t="s">
        <v>112</v>
      </c>
      <c r="B15" s="22" t="s">
        <v>70</v>
      </c>
      <c r="C15" s="22" t="s">
        <v>100</v>
      </c>
      <c r="D15" s="22" t="s">
        <v>108</v>
      </c>
      <c r="E15" s="22" t="s">
        <v>105</v>
      </c>
      <c r="F15" s="22" t="s">
        <v>258</v>
      </c>
      <c r="G15" s="22" t="s">
        <v>104</v>
      </c>
      <c r="H15" s="22" t="s">
        <v>102</v>
      </c>
      <c r="I15" s="22" t="s">
        <v>106</v>
      </c>
      <c r="J15" s="23" t="s">
        <v>62</v>
      </c>
      <c r="K15" s="25">
        <v>314.3</v>
      </c>
      <c r="L15" s="25">
        <v>367.8</v>
      </c>
      <c r="M15" s="25">
        <v>402.18054999999998</v>
      </c>
      <c r="N15" s="83">
        <f t="shared" si="3"/>
        <v>109.34762098966829</v>
      </c>
      <c r="P15" s="20">
        <f t="shared" si="1"/>
        <v>402180.55</v>
      </c>
      <c r="Q15" s="20"/>
      <c r="R15" s="20"/>
    </row>
    <row r="16" spans="1:18" ht="102.75" customHeight="1" x14ac:dyDescent="0.2">
      <c r="A16" s="22" t="s">
        <v>113</v>
      </c>
      <c r="B16" s="22" t="s">
        <v>70</v>
      </c>
      <c r="C16" s="22" t="s">
        <v>100</v>
      </c>
      <c r="D16" s="22" t="s">
        <v>108</v>
      </c>
      <c r="E16" s="22" t="s">
        <v>105</v>
      </c>
      <c r="F16" s="22" t="s">
        <v>259</v>
      </c>
      <c r="G16" s="22" t="s">
        <v>104</v>
      </c>
      <c r="H16" s="22" t="s">
        <v>102</v>
      </c>
      <c r="I16" s="22" t="s">
        <v>106</v>
      </c>
      <c r="J16" s="23" t="s">
        <v>63</v>
      </c>
      <c r="K16" s="25">
        <v>1.7</v>
      </c>
      <c r="L16" s="25">
        <v>2.0350000000000001</v>
      </c>
      <c r="M16" s="25">
        <v>2.1724000000000001</v>
      </c>
      <c r="N16" s="83">
        <f t="shared" si="3"/>
        <v>106.75184275184276</v>
      </c>
      <c r="P16" s="20">
        <f t="shared" si="1"/>
        <v>2172.4</v>
      </c>
      <c r="Q16" s="20"/>
      <c r="R16" s="20"/>
    </row>
    <row r="17" spans="1:18" ht="78" customHeight="1" x14ac:dyDescent="0.2">
      <c r="A17" s="22" t="s">
        <v>114</v>
      </c>
      <c r="B17" s="22" t="s">
        <v>70</v>
      </c>
      <c r="C17" s="22" t="s">
        <v>100</v>
      </c>
      <c r="D17" s="22" t="s">
        <v>108</v>
      </c>
      <c r="E17" s="22" t="s">
        <v>105</v>
      </c>
      <c r="F17" s="22" t="s">
        <v>81</v>
      </c>
      <c r="G17" s="22" t="s">
        <v>104</v>
      </c>
      <c r="H17" s="22" t="s">
        <v>102</v>
      </c>
      <c r="I17" s="22" t="s">
        <v>106</v>
      </c>
      <c r="J17" s="23" t="s">
        <v>64</v>
      </c>
      <c r="K17" s="25">
        <v>418.6</v>
      </c>
      <c r="L17" s="25">
        <v>409.6</v>
      </c>
      <c r="M17" s="25">
        <v>444.05275</v>
      </c>
      <c r="N17" s="83">
        <f t="shared" si="3"/>
        <v>108.41131591796875</v>
      </c>
      <c r="P17" s="20">
        <f t="shared" si="1"/>
        <v>444052.75</v>
      </c>
      <c r="Q17" s="20"/>
      <c r="R17" s="20"/>
    </row>
    <row r="18" spans="1:18" ht="77.25" customHeight="1" x14ac:dyDescent="0.2">
      <c r="A18" s="22" t="s">
        <v>115</v>
      </c>
      <c r="B18" s="22" t="s">
        <v>70</v>
      </c>
      <c r="C18" s="22" t="s">
        <v>100</v>
      </c>
      <c r="D18" s="22" t="s">
        <v>108</v>
      </c>
      <c r="E18" s="22" t="s">
        <v>105</v>
      </c>
      <c r="F18" s="22" t="s">
        <v>260</v>
      </c>
      <c r="G18" s="22" t="s">
        <v>104</v>
      </c>
      <c r="H18" s="22" t="s">
        <v>102</v>
      </c>
      <c r="I18" s="22" t="s">
        <v>106</v>
      </c>
      <c r="J18" s="23" t="s">
        <v>65</v>
      </c>
      <c r="K18" s="25">
        <v>-39.4</v>
      </c>
      <c r="L18" s="25">
        <v>-43.1</v>
      </c>
      <c r="M18" s="25">
        <v>-46.141770000000001</v>
      </c>
      <c r="N18" s="83">
        <f t="shared" si="3"/>
        <v>107.05747099767981</v>
      </c>
      <c r="P18" s="20">
        <f t="shared" si="1"/>
        <v>-46141.770000000004</v>
      </c>
      <c r="Q18" s="20"/>
      <c r="R18" s="20"/>
    </row>
    <row r="19" spans="1:18" ht="13.5" customHeight="1" x14ac:dyDescent="0.2">
      <c r="A19" s="21">
        <v>4</v>
      </c>
      <c r="B19" s="22" t="s">
        <v>103</v>
      </c>
      <c r="C19" s="22" t="s">
        <v>100</v>
      </c>
      <c r="D19" s="22" t="s">
        <v>109</v>
      </c>
      <c r="E19" s="22" t="s">
        <v>108</v>
      </c>
      <c r="F19" s="22" t="s">
        <v>22</v>
      </c>
      <c r="G19" s="22" t="s">
        <v>104</v>
      </c>
      <c r="H19" s="22" t="s">
        <v>102</v>
      </c>
      <c r="I19" s="22" t="s">
        <v>106</v>
      </c>
      <c r="J19" s="19" t="s">
        <v>11</v>
      </c>
      <c r="K19" s="25">
        <v>1.2</v>
      </c>
      <c r="L19" s="25">
        <v>514.92399999999998</v>
      </c>
      <c r="M19" s="25">
        <v>514.92481999999995</v>
      </c>
      <c r="N19" s="83">
        <f t="shared" si="3"/>
        <v>100.00015924680146</v>
      </c>
      <c r="P19" s="20">
        <f>M19*1000</f>
        <v>514924.81999999995</v>
      </c>
      <c r="Q19" s="20"/>
      <c r="R19" s="20"/>
    </row>
    <row r="20" spans="1:18" ht="14.25" customHeight="1" x14ac:dyDescent="0.2">
      <c r="A20" s="21">
        <v>5</v>
      </c>
      <c r="B20" s="22" t="s">
        <v>103</v>
      </c>
      <c r="C20" s="22" t="s">
        <v>100</v>
      </c>
      <c r="D20" s="22" t="s">
        <v>110</v>
      </c>
      <c r="E20" s="22" t="s">
        <v>104</v>
      </c>
      <c r="F20" s="22" t="s">
        <v>22</v>
      </c>
      <c r="G20" s="22" t="s">
        <v>101</v>
      </c>
      <c r="H20" s="22" t="s">
        <v>102</v>
      </c>
      <c r="I20" s="22" t="s">
        <v>106</v>
      </c>
      <c r="J20" s="19" t="s">
        <v>54</v>
      </c>
      <c r="K20" s="25">
        <v>416</v>
      </c>
      <c r="L20" s="25">
        <v>197.35499999999999</v>
      </c>
      <c r="M20" s="25">
        <v>249.90479999999999</v>
      </c>
      <c r="N20" s="83">
        <f t="shared" si="3"/>
        <v>126.62704263889945</v>
      </c>
      <c r="P20" s="20">
        <f t="shared" si="1"/>
        <v>249904.8</v>
      </c>
      <c r="Q20" s="20"/>
      <c r="R20" s="20"/>
    </row>
    <row r="21" spans="1:18" ht="15.75" customHeight="1" x14ac:dyDescent="0.2">
      <c r="A21" s="21">
        <v>6</v>
      </c>
      <c r="B21" s="21">
        <v>182</v>
      </c>
      <c r="C21" s="22" t="s">
        <v>100</v>
      </c>
      <c r="D21" s="22" t="s">
        <v>110</v>
      </c>
      <c r="E21" s="22" t="s">
        <v>110</v>
      </c>
      <c r="F21" s="22" t="s">
        <v>22</v>
      </c>
      <c r="G21" s="22" t="s">
        <v>101</v>
      </c>
      <c r="H21" s="22" t="s">
        <v>102</v>
      </c>
      <c r="I21" s="22" t="s">
        <v>106</v>
      </c>
      <c r="J21" s="19" t="s">
        <v>55</v>
      </c>
      <c r="K21" s="25">
        <f>SUM(K23:K24)</f>
        <v>3550</v>
      </c>
      <c r="L21" s="25">
        <f t="shared" ref="L21" si="4">SUM(L23:L24)</f>
        <v>3460.123</v>
      </c>
      <c r="M21" s="25">
        <f>SUM(M23:M24)</f>
        <v>3243.7047199999997</v>
      </c>
      <c r="N21" s="83">
        <f t="shared" si="3"/>
        <v>93.745358763257826</v>
      </c>
      <c r="P21" s="20">
        <f t="shared" si="1"/>
        <v>3243704.7199999997</v>
      </c>
      <c r="Q21" s="20"/>
      <c r="R21" s="20"/>
    </row>
    <row r="22" spans="1:18" ht="14.25" customHeight="1" x14ac:dyDescent="0.2">
      <c r="A22" s="21"/>
      <c r="B22" s="138"/>
      <c r="C22" s="138"/>
      <c r="D22" s="138"/>
      <c r="E22" s="138"/>
      <c r="F22" s="138"/>
      <c r="G22" s="138"/>
      <c r="H22" s="138"/>
      <c r="I22" s="138"/>
      <c r="J22" s="19" t="s">
        <v>111</v>
      </c>
      <c r="K22" s="25"/>
      <c r="L22" s="29"/>
      <c r="M22" s="25"/>
      <c r="N22" s="83"/>
      <c r="P22" s="20">
        <f t="shared" si="1"/>
        <v>0</v>
      </c>
      <c r="Q22" s="20"/>
      <c r="R22" s="20"/>
    </row>
    <row r="23" spans="1:18" ht="42" customHeight="1" x14ac:dyDescent="0.2">
      <c r="A23" s="22" t="s">
        <v>116</v>
      </c>
      <c r="B23" s="21">
        <v>182</v>
      </c>
      <c r="C23" s="22" t="s">
        <v>100</v>
      </c>
      <c r="D23" s="22" t="s">
        <v>110</v>
      </c>
      <c r="E23" s="22" t="s">
        <v>110</v>
      </c>
      <c r="F23" s="22" t="s">
        <v>118</v>
      </c>
      <c r="G23" s="22" t="s">
        <v>119</v>
      </c>
      <c r="H23" s="22" t="s">
        <v>102</v>
      </c>
      <c r="I23" s="22" t="s">
        <v>106</v>
      </c>
      <c r="J23" s="19" t="s">
        <v>300</v>
      </c>
      <c r="K23" s="26">
        <v>2700</v>
      </c>
      <c r="L23" s="26">
        <v>2447.123</v>
      </c>
      <c r="M23" s="26">
        <v>2012.713</v>
      </c>
      <c r="N23" s="83">
        <f t="shared" si="3"/>
        <v>82.248133828990206</v>
      </c>
      <c r="P23" s="20">
        <f t="shared" si="1"/>
        <v>2012713</v>
      </c>
      <c r="Q23" s="20"/>
      <c r="R23" s="20"/>
    </row>
    <row r="24" spans="1:18" ht="52.5" customHeight="1" x14ac:dyDescent="0.2">
      <c r="A24" s="22" t="s">
        <v>117</v>
      </c>
      <c r="B24" s="21">
        <v>182</v>
      </c>
      <c r="C24" s="22" t="s">
        <v>100</v>
      </c>
      <c r="D24" s="22" t="s">
        <v>110</v>
      </c>
      <c r="E24" s="22" t="s">
        <v>110</v>
      </c>
      <c r="F24" s="22" t="s">
        <v>120</v>
      </c>
      <c r="G24" s="22" t="s">
        <v>119</v>
      </c>
      <c r="H24" s="22" t="s">
        <v>102</v>
      </c>
      <c r="I24" s="22" t="s">
        <v>106</v>
      </c>
      <c r="J24" s="19" t="s">
        <v>301</v>
      </c>
      <c r="K24" s="26">
        <v>850</v>
      </c>
      <c r="L24" s="26">
        <v>1013</v>
      </c>
      <c r="M24" s="26">
        <v>1230.99172</v>
      </c>
      <c r="N24" s="83">
        <f t="shared" si="3"/>
        <v>121.51941954590326</v>
      </c>
      <c r="P24" s="20">
        <f t="shared" si="1"/>
        <v>1230991.72</v>
      </c>
      <c r="Q24" s="20"/>
      <c r="R24" s="20"/>
    </row>
    <row r="25" spans="1:18" ht="89.25" x14ac:dyDescent="0.2">
      <c r="A25" s="21">
        <v>7</v>
      </c>
      <c r="B25" s="21">
        <v>807</v>
      </c>
      <c r="C25" s="22" t="s">
        <v>100</v>
      </c>
      <c r="D25" s="22" t="s">
        <v>121</v>
      </c>
      <c r="E25" s="22" t="s">
        <v>122</v>
      </c>
      <c r="F25" s="22" t="s">
        <v>123</v>
      </c>
      <c r="G25" s="22" t="s">
        <v>104</v>
      </c>
      <c r="H25" s="22" t="s">
        <v>124</v>
      </c>
      <c r="I25" s="22" t="s">
        <v>106</v>
      </c>
      <c r="J25" s="19" t="s">
        <v>1</v>
      </c>
      <c r="K25" s="25">
        <v>5</v>
      </c>
      <c r="L25" s="25">
        <v>8</v>
      </c>
      <c r="M25" s="25">
        <v>8.5</v>
      </c>
      <c r="N25" s="83">
        <f t="shared" si="3"/>
        <v>106.25</v>
      </c>
      <c r="P25" s="20">
        <f t="shared" si="1"/>
        <v>8500</v>
      </c>
      <c r="Q25" s="20"/>
      <c r="R25" s="20"/>
    </row>
    <row r="26" spans="1:18" ht="89.25" x14ac:dyDescent="0.2">
      <c r="A26" s="21">
        <v>8</v>
      </c>
      <c r="B26" s="21">
        <v>807</v>
      </c>
      <c r="C26" s="22" t="s">
        <v>100</v>
      </c>
      <c r="D26" s="22" t="s">
        <v>125</v>
      </c>
      <c r="E26" s="22" t="s">
        <v>109</v>
      </c>
      <c r="F26" s="22" t="s">
        <v>81</v>
      </c>
      <c r="G26" s="22" t="s">
        <v>101</v>
      </c>
      <c r="H26" s="22" t="s">
        <v>102</v>
      </c>
      <c r="I26" s="22" t="s">
        <v>74</v>
      </c>
      <c r="J26" s="19" t="s">
        <v>84</v>
      </c>
      <c r="K26" s="26">
        <v>450</v>
      </c>
      <c r="L26" s="26">
        <v>605</v>
      </c>
      <c r="M26" s="26">
        <v>620.28504999999996</v>
      </c>
      <c r="N26" s="83">
        <f t="shared" si="3"/>
        <v>102.52645454545456</v>
      </c>
      <c r="P26" s="20">
        <f t="shared" si="1"/>
        <v>620285.04999999993</v>
      </c>
      <c r="Q26" s="20"/>
      <c r="R26" s="20"/>
    </row>
    <row r="27" spans="1:18" ht="63.75" customHeight="1" x14ac:dyDescent="0.2">
      <c r="A27" s="21">
        <v>9</v>
      </c>
      <c r="B27" s="21">
        <v>807</v>
      </c>
      <c r="C27" s="22" t="s">
        <v>100</v>
      </c>
      <c r="D27" s="22" t="s">
        <v>125</v>
      </c>
      <c r="E27" s="22" t="s">
        <v>109</v>
      </c>
      <c r="F27" s="22" t="s">
        <v>126</v>
      </c>
      <c r="G27" s="22" t="s">
        <v>101</v>
      </c>
      <c r="H27" s="22" t="s">
        <v>102</v>
      </c>
      <c r="I27" s="22" t="s">
        <v>74</v>
      </c>
      <c r="J27" s="19" t="s">
        <v>85</v>
      </c>
      <c r="K27" s="26">
        <v>100</v>
      </c>
      <c r="L27" s="26">
        <v>180.8</v>
      </c>
      <c r="M27" s="26">
        <v>199.12083999999999</v>
      </c>
      <c r="N27" s="83">
        <f t="shared" si="3"/>
        <v>110.13320796460175</v>
      </c>
      <c r="P27" s="20">
        <f t="shared" si="1"/>
        <v>199120.84</v>
      </c>
      <c r="Q27" s="20"/>
      <c r="R27" s="20"/>
    </row>
    <row r="28" spans="1:18" ht="25.5" x14ac:dyDescent="0.2">
      <c r="A28" s="21">
        <v>10</v>
      </c>
      <c r="B28" s="21">
        <v>807</v>
      </c>
      <c r="C28" s="22" t="s">
        <v>100</v>
      </c>
      <c r="D28" s="22" t="s">
        <v>268</v>
      </c>
      <c r="E28" s="22" t="s">
        <v>105</v>
      </c>
      <c r="F28" s="22" t="s">
        <v>269</v>
      </c>
      <c r="G28" s="22" t="s">
        <v>119</v>
      </c>
      <c r="H28" s="22" t="s">
        <v>102</v>
      </c>
      <c r="I28" s="22" t="s">
        <v>270</v>
      </c>
      <c r="J28" s="19" t="s">
        <v>267</v>
      </c>
      <c r="K28" s="26">
        <v>200</v>
      </c>
      <c r="L28" s="26">
        <v>261.60000000000002</v>
      </c>
      <c r="M28" s="26">
        <v>294.01290999999998</v>
      </c>
      <c r="N28" s="83">
        <f t="shared" si="3"/>
        <v>112.39025611620794</v>
      </c>
      <c r="P28" s="20">
        <f t="shared" si="1"/>
        <v>294012.90999999997</v>
      </c>
      <c r="Q28" s="20"/>
      <c r="R28" s="20"/>
    </row>
    <row r="29" spans="1:18" ht="25.5" x14ac:dyDescent="0.2">
      <c r="A29" s="21">
        <v>11</v>
      </c>
      <c r="B29" s="21">
        <v>807</v>
      </c>
      <c r="C29" s="22" t="s">
        <v>100</v>
      </c>
      <c r="D29" s="22" t="s">
        <v>324</v>
      </c>
      <c r="E29" s="22" t="s">
        <v>104</v>
      </c>
      <c r="F29" s="22" t="s">
        <v>396</v>
      </c>
      <c r="G29" s="22" t="s">
        <v>119</v>
      </c>
      <c r="H29" s="22" t="s">
        <v>102</v>
      </c>
      <c r="I29" s="22" t="s">
        <v>397</v>
      </c>
      <c r="J29" s="19" t="s">
        <v>398</v>
      </c>
      <c r="K29" s="26">
        <v>0</v>
      </c>
      <c r="L29" s="26">
        <v>0</v>
      </c>
      <c r="M29" s="26">
        <v>6.6</v>
      </c>
      <c r="N29" s="83">
        <v>0</v>
      </c>
      <c r="P29" s="20">
        <f t="shared" si="1"/>
        <v>6600</v>
      </c>
      <c r="Q29" s="20"/>
      <c r="R29" s="20"/>
    </row>
    <row r="30" spans="1:18" ht="101.25" customHeight="1" x14ac:dyDescent="0.2">
      <c r="A30" s="21">
        <v>11</v>
      </c>
      <c r="B30" s="21">
        <v>807</v>
      </c>
      <c r="C30" s="22" t="s">
        <v>100</v>
      </c>
      <c r="D30" s="22" t="s">
        <v>135</v>
      </c>
      <c r="E30" s="22" t="s">
        <v>105</v>
      </c>
      <c r="F30" s="22" t="s">
        <v>136</v>
      </c>
      <c r="G30" s="22" t="s">
        <v>119</v>
      </c>
      <c r="H30" s="22" t="s">
        <v>102</v>
      </c>
      <c r="I30" s="22" t="s">
        <v>137</v>
      </c>
      <c r="J30" s="19" t="s">
        <v>87</v>
      </c>
      <c r="K30" s="26">
        <v>0</v>
      </c>
      <c r="L30" s="26">
        <v>0</v>
      </c>
      <c r="M30" s="26">
        <v>0</v>
      </c>
      <c r="N30" s="83">
        <v>0</v>
      </c>
      <c r="P30" s="20">
        <f t="shared" si="1"/>
        <v>0</v>
      </c>
      <c r="Q30" s="20"/>
      <c r="R30" s="20"/>
    </row>
    <row r="31" spans="1:18" ht="65.25" customHeight="1" x14ac:dyDescent="0.2">
      <c r="A31" s="21">
        <v>12</v>
      </c>
      <c r="B31" s="21">
        <v>807</v>
      </c>
      <c r="C31" s="22" t="s">
        <v>100</v>
      </c>
      <c r="D31" s="22" t="s">
        <v>135</v>
      </c>
      <c r="E31" s="22" t="s">
        <v>110</v>
      </c>
      <c r="F31" s="22" t="s">
        <v>138</v>
      </c>
      <c r="G31" s="22" t="s">
        <v>119</v>
      </c>
      <c r="H31" s="22" t="s">
        <v>102</v>
      </c>
      <c r="I31" s="22" t="s">
        <v>139</v>
      </c>
      <c r="J31" s="19" t="s">
        <v>86</v>
      </c>
      <c r="K31" s="26">
        <v>0</v>
      </c>
      <c r="L31" s="26">
        <v>0</v>
      </c>
      <c r="M31" s="26">
        <v>0</v>
      </c>
      <c r="N31" s="83">
        <v>0</v>
      </c>
      <c r="P31" s="20">
        <f t="shared" si="1"/>
        <v>0</v>
      </c>
      <c r="Q31" s="20"/>
      <c r="R31" s="20"/>
    </row>
    <row r="32" spans="1:18" ht="55.5" customHeight="1" x14ac:dyDescent="0.2">
      <c r="A32" s="21">
        <v>13</v>
      </c>
      <c r="B32" s="21">
        <v>807</v>
      </c>
      <c r="C32" s="22" t="s">
        <v>100</v>
      </c>
      <c r="D32" s="22" t="s">
        <v>324</v>
      </c>
      <c r="E32" s="22" t="s">
        <v>198</v>
      </c>
      <c r="F32" s="22" t="s">
        <v>472</v>
      </c>
      <c r="G32" s="22" t="s">
        <v>119</v>
      </c>
      <c r="H32" s="22" t="s">
        <v>473</v>
      </c>
      <c r="I32" s="22" t="s">
        <v>255</v>
      </c>
      <c r="J32" s="19" t="s">
        <v>465</v>
      </c>
      <c r="K32" s="26">
        <v>0</v>
      </c>
      <c r="L32" s="26">
        <v>123.48</v>
      </c>
      <c r="M32" s="26">
        <v>123.48</v>
      </c>
      <c r="N32" s="83">
        <v>0</v>
      </c>
      <c r="P32" s="20"/>
      <c r="Q32" s="20"/>
      <c r="R32" s="20"/>
    </row>
    <row r="33" spans="1:18" ht="60" customHeight="1" x14ac:dyDescent="0.2">
      <c r="A33" s="21">
        <v>14</v>
      </c>
      <c r="B33" s="21">
        <v>807</v>
      </c>
      <c r="C33" s="22" t="s">
        <v>100</v>
      </c>
      <c r="D33" s="22" t="s">
        <v>324</v>
      </c>
      <c r="E33" s="22" t="s">
        <v>198</v>
      </c>
      <c r="F33" s="22" t="s">
        <v>472</v>
      </c>
      <c r="G33" s="22" t="s">
        <v>119</v>
      </c>
      <c r="H33" s="22" t="s">
        <v>474</v>
      </c>
      <c r="I33" s="22" t="s">
        <v>255</v>
      </c>
      <c r="J33" s="19" t="s">
        <v>465</v>
      </c>
      <c r="K33" s="26">
        <v>0</v>
      </c>
      <c r="L33" s="26">
        <v>52.92</v>
      </c>
      <c r="M33" s="26">
        <v>52.92</v>
      </c>
      <c r="N33" s="83">
        <v>0</v>
      </c>
      <c r="P33" s="20"/>
      <c r="Q33" s="20"/>
      <c r="R33" s="20"/>
    </row>
    <row r="34" spans="1:18" x14ac:dyDescent="0.2">
      <c r="A34" s="98">
        <v>15</v>
      </c>
      <c r="B34" s="76" t="s">
        <v>22</v>
      </c>
      <c r="C34" s="76" t="s">
        <v>127</v>
      </c>
      <c r="D34" s="76" t="s">
        <v>101</v>
      </c>
      <c r="E34" s="76" t="s">
        <v>101</v>
      </c>
      <c r="F34" s="76" t="s">
        <v>22</v>
      </c>
      <c r="G34" s="76" t="s">
        <v>101</v>
      </c>
      <c r="H34" s="76" t="s">
        <v>102</v>
      </c>
      <c r="I34" s="76" t="s">
        <v>22</v>
      </c>
      <c r="J34" s="65" t="s">
        <v>128</v>
      </c>
      <c r="K34" s="77">
        <f>K35+K39+K43</f>
        <v>5121.4049999999997</v>
      </c>
      <c r="L34" s="77">
        <f t="shared" ref="L34:M34" si="5">L35+L39+L43</f>
        <v>9007.5399999999991</v>
      </c>
      <c r="M34" s="77">
        <f t="shared" si="5"/>
        <v>8968.3957599999994</v>
      </c>
      <c r="N34" s="83">
        <f t="shared" si="3"/>
        <v>99.56542807470187</v>
      </c>
      <c r="P34" s="20">
        <f t="shared" si="1"/>
        <v>8968395.7599999998</v>
      </c>
      <c r="Q34" s="20"/>
      <c r="R34" s="20"/>
    </row>
    <row r="35" spans="1:18" ht="26.25" customHeight="1" x14ac:dyDescent="0.2">
      <c r="A35" s="21">
        <v>16</v>
      </c>
      <c r="B35" s="22" t="s">
        <v>129</v>
      </c>
      <c r="C35" s="22" t="s">
        <v>127</v>
      </c>
      <c r="D35" s="22" t="s">
        <v>105</v>
      </c>
      <c r="E35" s="22" t="s">
        <v>198</v>
      </c>
      <c r="F35" s="22" t="s">
        <v>22</v>
      </c>
      <c r="G35" s="22" t="s">
        <v>101</v>
      </c>
      <c r="H35" s="22" t="s">
        <v>102</v>
      </c>
      <c r="I35" s="22" t="s">
        <v>255</v>
      </c>
      <c r="J35" s="19" t="s">
        <v>256</v>
      </c>
      <c r="K35" s="68">
        <f>SUM(K37:K38)</f>
        <v>1772.9050000000002</v>
      </c>
      <c r="L35" s="68">
        <f>SUM(L37:L38)</f>
        <v>1772.9050000000002</v>
      </c>
      <c r="M35" s="68">
        <f t="shared" ref="M35" si="6">SUM(M37:M38)</f>
        <v>1772.9050000000002</v>
      </c>
      <c r="N35" s="83">
        <f t="shared" si="3"/>
        <v>100</v>
      </c>
      <c r="P35" s="20">
        <f t="shared" si="1"/>
        <v>1772905.0000000002</v>
      </c>
      <c r="Q35" s="20"/>
      <c r="R35" s="20"/>
    </row>
    <row r="36" spans="1:18" x14ac:dyDescent="0.2">
      <c r="A36" s="21"/>
      <c r="B36" s="17"/>
      <c r="C36" s="17"/>
      <c r="D36" s="17"/>
      <c r="E36" s="17"/>
      <c r="F36" s="17"/>
      <c r="G36" s="17"/>
      <c r="H36" s="17"/>
      <c r="I36" s="17"/>
      <c r="J36" s="19" t="s">
        <v>111</v>
      </c>
      <c r="K36" s="27"/>
      <c r="L36" s="26"/>
      <c r="M36" s="26"/>
      <c r="N36" s="83"/>
      <c r="P36" s="20">
        <f t="shared" si="1"/>
        <v>0</v>
      </c>
      <c r="Q36" s="20"/>
      <c r="R36" s="20"/>
    </row>
    <row r="37" spans="1:18" ht="229.5" x14ac:dyDescent="0.2">
      <c r="A37" s="22" t="s">
        <v>134</v>
      </c>
      <c r="B37" s="22" t="s">
        <v>129</v>
      </c>
      <c r="C37" s="22" t="s">
        <v>127</v>
      </c>
      <c r="D37" s="22" t="s">
        <v>105</v>
      </c>
      <c r="E37" s="22" t="s">
        <v>198</v>
      </c>
      <c r="F37" s="22" t="s">
        <v>130</v>
      </c>
      <c r="G37" s="22" t="s">
        <v>119</v>
      </c>
      <c r="H37" s="22" t="s">
        <v>236</v>
      </c>
      <c r="I37" s="22" t="s">
        <v>255</v>
      </c>
      <c r="J37" s="19" t="s">
        <v>292</v>
      </c>
      <c r="K37" s="26">
        <v>746.84199999999998</v>
      </c>
      <c r="L37" s="26">
        <v>746.84199999999998</v>
      </c>
      <c r="M37" s="26">
        <v>746.84199999999998</v>
      </c>
      <c r="N37" s="83">
        <f t="shared" si="3"/>
        <v>100</v>
      </c>
      <c r="P37" s="20">
        <f t="shared" si="1"/>
        <v>746842</v>
      </c>
      <c r="Q37" s="20"/>
      <c r="R37" s="20"/>
    </row>
    <row r="38" spans="1:18" ht="164.25" customHeight="1" x14ac:dyDescent="0.2">
      <c r="A38" s="22" t="s">
        <v>475</v>
      </c>
      <c r="B38" s="22" t="s">
        <v>129</v>
      </c>
      <c r="C38" s="22" t="s">
        <v>127</v>
      </c>
      <c r="D38" s="22" t="s">
        <v>105</v>
      </c>
      <c r="E38" s="22" t="s">
        <v>198</v>
      </c>
      <c r="F38" s="22" t="s">
        <v>130</v>
      </c>
      <c r="G38" s="22" t="s">
        <v>119</v>
      </c>
      <c r="H38" s="22" t="s">
        <v>381</v>
      </c>
      <c r="I38" s="22" t="s">
        <v>255</v>
      </c>
      <c r="J38" s="19" t="s">
        <v>291</v>
      </c>
      <c r="K38" s="26">
        <v>1026.0630000000001</v>
      </c>
      <c r="L38" s="26">
        <v>1026.0630000000001</v>
      </c>
      <c r="M38" s="26">
        <v>1026.0630000000001</v>
      </c>
      <c r="N38" s="83">
        <f t="shared" si="3"/>
        <v>100</v>
      </c>
      <c r="P38" s="20"/>
      <c r="Q38" s="20"/>
      <c r="R38" s="20"/>
    </row>
    <row r="39" spans="1:18" s="3" customFormat="1" ht="25.5" x14ac:dyDescent="0.2">
      <c r="A39" s="22" t="s">
        <v>324</v>
      </c>
      <c r="B39" s="22" t="s">
        <v>22</v>
      </c>
      <c r="C39" s="22" t="s">
        <v>127</v>
      </c>
      <c r="D39" s="22" t="s">
        <v>105</v>
      </c>
      <c r="E39" s="22" t="s">
        <v>199</v>
      </c>
      <c r="F39" s="22" t="s">
        <v>22</v>
      </c>
      <c r="G39" s="22" t="s">
        <v>101</v>
      </c>
      <c r="H39" s="22" t="s">
        <v>102</v>
      </c>
      <c r="I39" s="22" t="s">
        <v>255</v>
      </c>
      <c r="J39" s="19" t="s">
        <v>257</v>
      </c>
      <c r="K39" s="26">
        <f>SUM(K41:K42)</f>
        <v>445.92099999999999</v>
      </c>
      <c r="L39" s="26">
        <f t="shared" ref="L39:M39" si="7">SUM(L41:L42)</f>
        <v>464.63300000000004</v>
      </c>
      <c r="M39" s="26">
        <f t="shared" si="7"/>
        <v>464.63300000000004</v>
      </c>
      <c r="N39" s="83">
        <f t="shared" si="3"/>
        <v>100</v>
      </c>
      <c r="P39" s="20">
        <f t="shared" si="1"/>
        <v>464633.00000000006</v>
      </c>
      <c r="Q39" s="20"/>
      <c r="R39" s="20"/>
    </row>
    <row r="40" spans="1:18" s="3" customFormat="1" x14ac:dyDescent="0.2">
      <c r="A40" s="99"/>
      <c r="B40" s="138"/>
      <c r="C40" s="138"/>
      <c r="D40" s="138"/>
      <c r="E40" s="138"/>
      <c r="F40" s="138"/>
      <c r="G40" s="138"/>
      <c r="H40" s="138"/>
      <c r="I40" s="138"/>
      <c r="J40" s="19" t="s">
        <v>111</v>
      </c>
      <c r="K40" s="26"/>
      <c r="L40" s="78"/>
      <c r="M40" s="78"/>
      <c r="N40" s="83"/>
      <c r="P40" s="20">
        <f t="shared" si="1"/>
        <v>0</v>
      </c>
      <c r="Q40" s="20"/>
      <c r="R40" s="20"/>
    </row>
    <row r="41" spans="1:18" s="3" customFormat="1" ht="51.75" customHeight="1" x14ac:dyDescent="0.2">
      <c r="A41" s="22" t="s">
        <v>476</v>
      </c>
      <c r="B41" s="22" t="s">
        <v>129</v>
      </c>
      <c r="C41" s="22" t="s">
        <v>127</v>
      </c>
      <c r="D41" s="22" t="s">
        <v>105</v>
      </c>
      <c r="E41" s="22" t="s">
        <v>303</v>
      </c>
      <c r="F41" s="22" t="s">
        <v>304</v>
      </c>
      <c r="G41" s="22" t="s">
        <v>119</v>
      </c>
      <c r="H41" s="22" t="s">
        <v>102</v>
      </c>
      <c r="I41" s="22" t="s">
        <v>255</v>
      </c>
      <c r="J41" s="19" t="s">
        <v>293</v>
      </c>
      <c r="K41" s="78">
        <v>432</v>
      </c>
      <c r="L41" s="26">
        <v>450.26600000000002</v>
      </c>
      <c r="M41" s="26">
        <v>450.26600000000002</v>
      </c>
      <c r="N41" s="83">
        <f>M41/L41*100</f>
        <v>100</v>
      </c>
      <c r="P41" s="20">
        <f t="shared" si="1"/>
        <v>450266</v>
      </c>
      <c r="Q41" s="20"/>
      <c r="R41" s="20"/>
    </row>
    <row r="42" spans="1:18" s="3" customFormat="1" ht="63.75" x14ac:dyDescent="0.2">
      <c r="A42" s="22" t="s">
        <v>477</v>
      </c>
      <c r="B42" s="22" t="s">
        <v>129</v>
      </c>
      <c r="C42" s="22" t="s">
        <v>127</v>
      </c>
      <c r="D42" s="22" t="s">
        <v>105</v>
      </c>
      <c r="E42" s="22" t="s">
        <v>199</v>
      </c>
      <c r="F42" s="22" t="s">
        <v>132</v>
      </c>
      <c r="G42" s="22" t="s">
        <v>119</v>
      </c>
      <c r="H42" s="22" t="s">
        <v>167</v>
      </c>
      <c r="I42" s="22" t="s">
        <v>255</v>
      </c>
      <c r="J42" s="19" t="s">
        <v>395</v>
      </c>
      <c r="K42" s="26">
        <v>13.920999999999999</v>
      </c>
      <c r="L42" s="26">
        <v>14.367000000000001</v>
      </c>
      <c r="M42" s="26">
        <v>14.367000000000001</v>
      </c>
      <c r="N42" s="83">
        <f t="shared" si="3"/>
        <v>100</v>
      </c>
      <c r="P42" s="20">
        <f t="shared" si="1"/>
        <v>14367</v>
      </c>
      <c r="Q42" s="20"/>
      <c r="R42" s="20"/>
    </row>
    <row r="43" spans="1:18" x14ac:dyDescent="0.2">
      <c r="A43" s="21">
        <v>18</v>
      </c>
      <c r="B43" s="22" t="s">
        <v>22</v>
      </c>
      <c r="C43" s="22" t="s">
        <v>127</v>
      </c>
      <c r="D43" s="22" t="s">
        <v>105</v>
      </c>
      <c r="E43" s="22" t="s">
        <v>201</v>
      </c>
      <c r="F43" s="22" t="s">
        <v>22</v>
      </c>
      <c r="G43" s="22" t="s">
        <v>101</v>
      </c>
      <c r="H43" s="22" t="s">
        <v>102</v>
      </c>
      <c r="I43" s="22" t="s">
        <v>255</v>
      </c>
      <c r="J43" s="19" t="s">
        <v>56</v>
      </c>
      <c r="K43" s="26">
        <f>SUM(K45:K54)</f>
        <v>2902.5789999999997</v>
      </c>
      <c r="L43" s="26">
        <f t="shared" ref="L43:N43" si="8">SUM(L45:L54)</f>
        <v>6770.0019999999986</v>
      </c>
      <c r="M43" s="26">
        <f>SUM(M45:M54)</f>
        <v>6730.857759999999</v>
      </c>
      <c r="N43" s="26">
        <f t="shared" si="8"/>
        <v>984.22972281517775</v>
      </c>
      <c r="O43" s="3"/>
      <c r="P43" s="20">
        <f t="shared" si="1"/>
        <v>6730857.7599999988</v>
      </c>
      <c r="Q43" s="20"/>
      <c r="R43" s="20"/>
    </row>
    <row r="44" spans="1:18" x14ac:dyDescent="0.2">
      <c r="A44" s="99"/>
      <c r="B44" s="138"/>
      <c r="C44" s="138"/>
      <c r="D44" s="138"/>
      <c r="E44" s="138"/>
      <c r="F44" s="138"/>
      <c r="G44" s="138"/>
      <c r="H44" s="138"/>
      <c r="I44" s="138"/>
      <c r="J44" s="19" t="s">
        <v>111</v>
      </c>
      <c r="K44" s="26"/>
      <c r="L44" s="26"/>
      <c r="M44" s="26"/>
      <c r="N44" s="26"/>
      <c r="O44" s="3"/>
      <c r="P44" s="20">
        <f t="shared" si="1"/>
        <v>0</v>
      </c>
      <c r="Q44" s="20"/>
      <c r="R44" s="20"/>
    </row>
    <row r="45" spans="1:18" ht="78" customHeight="1" x14ac:dyDescent="0.2">
      <c r="A45" s="147" t="s">
        <v>478</v>
      </c>
      <c r="B45" s="22" t="s">
        <v>129</v>
      </c>
      <c r="C45" s="22" t="s">
        <v>127</v>
      </c>
      <c r="D45" s="22" t="s">
        <v>105</v>
      </c>
      <c r="E45" s="22" t="s">
        <v>200</v>
      </c>
      <c r="F45" s="22" t="s">
        <v>131</v>
      </c>
      <c r="G45" s="22" t="s">
        <v>119</v>
      </c>
      <c r="H45" s="22" t="s">
        <v>479</v>
      </c>
      <c r="I45" s="22" t="s">
        <v>255</v>
      </c>
      <c r="J45" s="19" t="s">
        <v>480</v>
      </c>
      <c r="K45" s="26">
        <v>0</v>
      </c>
      <c r="L45" s="26">
        <v>20.260000000000002</v>
      </c>
      <c r="M45" s="26">
        <v>20.260000000000002</v>
      </c>
      <c r="N45" s="83">
        <f t="shared" ref="N45:N54" si="9">M45/L45*100</f>
        <v>100</v>
      </c>
      <c r="O45" s="3"/>
      <c r="P45" s="20"/>
      <c r="Q45" s="20"/>
      <c r="R45" s="20"/>
    </row>
    <row r="46" spans="1:18" ht="53.25" customHeight="1" x14ac:dyDescent="0.2">
      <c r="A46" s="147" t="s">
        <v>481</v>
      </c>
      <c r="B46" s="22" t="s">
        <v>129</v>
      </c>
      <c r="C46" s="22" t="s">
        <v>127</v>
      </c>
      <c r="D46" s="22" t="s">
        <v>105</v>
      </c>
      <c r="E46" s="22" t="s">
        <v>200</v>
      </c>
      <c r="F46" s="22" t="s">
        <v>131</v>
      </c>
      <c r="G46" s="22" t="s">
        <v>119</v>
      </c>
      <c r="H46" s="22" t="s">
        <v>482</v>
      </c>
      <c r="I46" s="22" t="s">
        <v>255</v>
      </c>
      <c r="J46" s="19" t="s">
        <v>483</v>
      </c>
      <c r="K46" s="26">
        <v>0</v>
      </c>
      <c r="L46" s="26">
        <v>187.3</v>
      </c>
      <c r="M46" s="26">
        <v>187.3</v>
      </c>
      <c r="N46" s="83">
        <f t="shared" ref="N46" si="10">M46/L46*100</f>
        <v>100</v>
      </c>
      <c r="O46" s="3"/>
      <c r="P46" s="20"/>
      <c r="Q46" s="20"/>
      <c r="R46" s="20"/>
    </row>
    <row r="47" spans="1:18" s="3" customFormat="1" ht="115.5" customHeight="1" x14ac:dyDescent="0.2">
      <c r="A47" s="147" t="s">
        <v>484</v>
      </c>
      <c r="B47" s="21">
        <v>807</v>
      </c>
      <c r="C47" s="21">
        <v>2</v>
      </c>
      <c r="D47" s="22" t="s">
        <v>105</v>
      </c>
      <c r="E47" s="21">
        <v>49</v>
      </c>
      <c r="F47" s="21">
        <v>999</v>
      </c>
      <c r="G47" s="21">
        <v>10</v>
      </c>
      <c r="H47" s="21">
        <v>9235</v>
      </c>
      <c r="I47" s="21">
        <v>150</v>
      </c>
      <c r="J47" s="19" t="s">
        <v>429</v>
      </c>
      <c r="K47" s="26">
        <v>0</v>
      </c>
      <c r="L47" s="26">
        <v>27.443999999999999</v>
      </c>
      <c r="M47" s="26">
        <v>27.198</v>
      </c>
      <c r="N47" s="83">
        <f t="shared" si="9"/>
        <v>99.103629208570183</v>
      </c>
      <c r="P47" s="20"/>
    </row>
    <row r="48" spans="1:18" s="3" customFormat="1" ht="39.75" customHeight="1" x14ac:dyDescent="0.2">
      <c r="A48" s="147" t="s">
        <v>485</v>
      </c>
      <c r="B48" s="21">
        <v>807</v>
      </c>
      <c r="C48" s="21">
        <v>2</v>
      </c>
      <c r="D48" s="22" t="s">
        <v>105</v>
      </c>
      <c r="E48" s="21">
        <v>49</v>
      </c>
      <c r="F48" s="21">
        <v>999</v>
      </c>
      <c r="G48" s="21">
        <v>10</v>
      </c>
      <c r="H48" s="21">
        <v>9179</v>
      </c>
      <c r="I48" s="21">
        <v>150</v>
      </c>
      <c r="J48" s="19" t="s">
        <v>437</v>
      </c>
      <c r="K48" s="26">
        <v>103.09099999999999</v>
      </c>
      <c r="L48" s="26">
        <v>103.09099999999999</v>
      </c>
      <c r="M48" s="26">
        <v>103.09099999999999</v>
      </c>
      <c r="N48" s="83">
        <f t="shared" si="9"/>
        <v>100</v>
      </c>
      <c r="P48" s="20"/>
    </row>
    <row r="49" spans="1:18" s="3" customFormat="1" ht="171" customHeight="1" x14ac:dyDescent="0.2">
      <c r="A49" s="24" t="s">
        <v>486</v>
      </c>
      <c r="B49" s="22" t="s">
        <v>129</v>
      </c>
      <c r="C49" s="22" t="s">
        <v>127</v>
      </c>
      <c r="D49" s="22" t="s">
        <v>105</v>
      </c>
      <c r="E49" s="22" t="s">
        <v>200</v>
      </c>
      <c r="F49" s="22" t="s">
        <v>131</v>
      </c>
      <c r="G49" s="22" t="s">
        <v>119</v>
      </c>
      <c r="H49" s="22" t="s">
        <v>202</v>
      </c>
      <c r="I49" s="22" t="s">
        <v>255</v>
      </c>
      <c r="J49" s="19" t="s">
        <v>295</v>
      </c>
      <c r="K49" s="78">
        <v>2799.4879999999998</v>
      </c>
      <c r="L49" s="78">
        <v>3991.8879999999999</v>
      </c>
      <c r="M49" s="26">
        <v>3991.8879999999999</v>
      </c>
      <c r="N49" s="83">
        <f t="shared" si="9"/>
        <v>100</v>
      </c>
      <c r="O49" s="1"/>
      <c r="P49" s="20">
        <f>M49*1000</f>
        <v>3991888</v>
      </c>
    </row>
    <row r="50" spans="1:18" s="3" customFormat="1" ht="115.5" customHeight="1" x14ac:dyDescent="0.2">
      <c r="A50" s="22" t="s">
        <v>487</v>
      </c>
      <c r="B50" s="22" t="s">
        <v>129</v>
      </c>
      <c r="C50" s="22" t="s">
        <v>127</v>
      </c>
      <c r="D50" s="22" t="s">
        <v>105</v>
      </c>
      <c r="E50" s="22" t="s">
        <v>200</v>
      </c>
      <c r="F50" s="22" t="s">
        <v>131</v>
      </c>
      <c r="G50" s="22" t="s">
        <v>119</v>
      </c>
      <c r="H50" s="22" t="s">
        <v>185</v>
      </c>
      <c r="I50" s="22" t="s">
        <v>255</v>
      </c>
      <c r="J50" s="19" t="s">
        <v>434</v>
      </c>
      <c r="K50" s="78">
        <v>0</v>
      </c>
      <c r="L50" s="78">
        <v>226</v>
      </c>
      <c r="M50" s="78">
        <v>226</v>
      </c>
      <c r="N50" s="83">
        <f t="shared" si="9"/>
        <v>100</v>
      </c>
      <c r="O50" s="1"/>
      <c r="P50" s="20">
        <f>M50*1000</f>
        <v>226000</v>
      </c>
      <c r="Q50" s="20"/>
      <c r="R50" s="20"/>
    </row>
    <row r="51" spans="1:18" s="3" customFormat="1" ht="50.25" customHeight="1" x14ac:dyDescent="0.2">
      <c r="A51" s="22" t="s">
        <v>488</v>
      </c>
      <c r="B51" s="22" t="s">
        <v>129</v>
      </c>
      <c r="C51" s="22" t="s">
        <v>127</v>
      </c>
      <c r="D51" s="22" t="s">
        <v>105</v>
      </c>
      <c r="E51" s="22" t="s">
        <v>200</v>
      </c>
      <c r="F51" s="22" t="s">
        <v>131</v>
      </c>
      <c r="G51" s="22" t="s">
        <v>119</v>
      </c>
      <c r="H51" s="22" t="s">
        <v>446</v>
      </c>
      <c r="I51" s="22" t="s">
        <v>255</v>
      </c>
      <c r="J51" s="19" t="s">
        <v>379</v>
      </c>
      <c r="K51" s="78">
        <v>0</v>
      </c>
      <c r="L51" s="78">
        <v>112.38200000000001</v>
      </c>
      <c r="M51" s="78">
        <v>112.38200000000001</v>
      </c>
      <c r="N51" s="83">
        <f t="shared" si="9"/>
        <v>100</v>
      </c>
      <c r="O51" s="1"/>
      <c r="P51" s="20"/>
      <c r="Q51" s="20"/>
      <c r="R51" s="20"/>
    </row>
    <row r="52" spans="1:18" s="3" customFormat="1" ht="75" customHeight="1" x14ac:dyDescent="0.2">
      <c r="A52" s="22" t="s">
        <v>489</v>
      </c>
      <c r="B52" s="22" t="s">
        <v>129</v>
      </c>
      <c r="C52" s="22" t="s">
        <v>127</v>
      </c>
      <c r="D52" s="22" t="s">
        <v>105</v>
      </c>
      <c r="E52" s="22" t="s">
        <v>200</v>
      </c>
      <c r="F52" s="22" t="s">
        <v>131</v>
      </c>
      <c r="G52" s="22" t="s">
        <v>119</v>
      </c>
      <c r="H52" s="22" t="s">
        <v>447</v>
      </c>
      <c r="I52" s="22" t="s">
        <v>255</v>
      </c>
      <c r="J52" s="19" t="s">
        <v>443</v>
      </c>
      <c r="K52" s="78">
        <v>0</v>
      </c>
      <c r="L52" s="78">
        <v>340.71699999999998</v>
      </c>
      <c r="M52" s="78">
        <v>340.71699999999998</v>
      </c>
      <c r="N52" s="83">
        <f t="shared" si="9"/>
        <v>100</v>
      </c>
      <c r="O52" s="1"/>
      <c r="P52" s="20"/>
      <c r="Q52" s="20"/>
      <c r="R52" s="20"/>
    </row>
    <row r="53" spans="1:18" s="3" customFormat="1" ht="65.25" customHeight="1" x14ac:dyDescent="0.2">
      <c r="A53" s="22" t="s">
        <v>490</v>
      </c>
      <c r="B53" s="22" t="s">
        <v>129</v>
      </c>
      <c r="C53" s="22" t="s">
        <v>127</v>
      </c>
      <c r="D53" s="22" t="s">
        <v>105</v>
      </c>
      <c r="E53" s="22" t="s">
        <v>200</v>
      </c>
      <c r="F53" s="22" t="s">
        <v>131</v>
      </c>
      <c r="G53" s="22" t="s">
        <v>119</v>
      </c>
      <c r="H53" s="22" t="s">
        <v>448</v>
      </c>
      <c r="I53" s="22" t="s">
        <v>255</v>
      </c>
      <c r="J53" s="19" t="s">
        <v>445</v>
      </c>
      <c r="K53" s="78">
        <v>0</v>
      </c>
      <c r="L53" s="78">
        <v>261.52</v>
      </c>
      <c r="M53" s="78">
        <v>222.62175999999999</v>
      </c>
      <c r="N53" s="83">
        <f t="shared" si="9"/>
        <v>85.12609360660754</v>
      </c>
      <c r="O53" s="1"/>
      <c r="P53" s="20"/>
      <c r="Q53" s="20"/>
      <c r="R53" s="20"/>
    </row>
    <row r="54" spans="1:18" s="3" customFormat="1" ht="50.25" customHeight="1" x14ac:dyDescent="0.2">
      <c r="A54" s="22" t="s">
        <v>491</v>
      </c>
      <c r="B54" s="22" t="s">
        <v>129</v>
      </c>
      <c r="C54" s="22" t="s">
        <v>127</v>
      </c>
      <c r="D54" s="22" t="s">
        <v>105</v>
      </c>
      <c r="E54" s="22" t="s">
        <v>200</v>
      </c>
      <c r="F54" s="22" t="s">
        <v>131</v>
      </c>
      <c r="G54" s="22" t="s">
        <v>119</v>
      </c>
      <c r="H54" s="22" t="s">
        <v>449</v>
      </c>
      <c r="I54" s="22" t="s">
        <v>255</v>
      </c>
      <c r="J54" s="19" t="s">
        <v>451</v>
      </c>
      <c r="K54" s="78">
        <v>0</v>
      </c>
      <c r="L54" s="78">
        <v>1499.4</v>
      </c>
      <c r="M54" s="78">
        <v>1499.4</v>
      </c>
      <c r="N54" s="83">
        <f t="shared" si="9"/>
        <v>100</v>
      </c>
      <c r="O54" s="1"/>
      <c r="P54" s="20"/>
      <c r="Q54" s="20"/>
      <c r="R54" s="20"/>
    </row>
    <row r="55" spans="1:18" x14ac:dyDescent="0.2">
      <c r="A55" s="298" t="s">
        <v>133</v>
      </c>
      <c r="B55" s="298"/>
      <c r="C55" s="298"/>
      <c r="D55" s="298"/>
      <c r="E55" s="298"/>
      <c r="F55" s="298"/>
      <c r="G55" s="298"/>
      <c r="H55" s="298"/>
      <c r="I55" s="298"/>
      <c r="J55" s="298"/>
      <c r="K55" s="100">
        <f>K34+K11</f>
        <v>10954.556</v>
      </c>
      <c r="L55" s="100">
        <f>L34+L11</f>
        <v>15563.828</v>
      </c>
      <c r="M55" s="100">
        <f>M34+M11</f>
        <v>15520.032619999998</v>
      </c>
      <c r="N55" s="114">
        <f t="shared" si="3"/>
        <v>99.718607915738971</v>
      </c>
      <c r="P55" s="20">
        <f t="shared" si="1"/>
        <v>15520032.619999997</v>
      </c>
    </row>
    <row r="58" spans="1:18" x14ac:dyDescent="0.2">
      <c r="K58" s="20">
        <f>K55*1000</f>
        <v>10954556</v>
      </c>
      <c r="L58" s="20">
        <f t="shared" ref="L58:M58" si="11">L55*1000</f>
        <v>15563828</v>
      </c>
      <c r="M58" s="20">
        <f t="shared" si="11"/>
        <v>15520032.619999997</v>
      </c>
    </row>
    <row r="59" spans="1:18" x14ac:dyDescent="0.2">
      <c r="L59" s="20">
        <f>L58-15563828</f>
        <v>0</v>
      </c>
      <c r="M59" s="20">
        <f>M58-15520032.62</f>
        <v>0</v>
      </c>
    </row>
  </sheetData>
  <mergeCells count="12">
    <mergeCell ref="A55:J55"/>
    <mergeCell ref="I1:N1"/>
    <mergeCell ref="E2:N2"/>
    <mergeCell ref="H3:N3"/>
    <mergeCell ref="A5:N5"/>
    <mergeCell ref="A8:A9"/>
    <mergeCell ref="B8:I8"/>
    <mergeCell ref="J8:J9"/>
    <mergeCell ref="K8:K9"/>
    <mergeCell ref="L8:L9"/>
    <mergeCell ref="M8:M9"/>
    <mergeCell ref="N8:N9"/>
  </mergeCells>
  <pageMargins left="0.31496062992125984" right="0.15748031496062992" top="0.31496062992125984" bottom="0.27559055118110237" header="0.15748031496062992" footer="0.27559055118110237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88"/>
  <sheetViews>
    <sheetView view="pageBreakPreview" zoomScale="80" zoomScaleNormal="98" zoomScaleSheetLayoutView="80" workbookViewId="0">
      <selection activeCell="D3" sqref="D3:K3"/>
    </sheetView>
  </sheetViews>
  <sheetFormatPr defaultRowHeight="12.75" x14ac:dyDescent="0.2"/>
  <cols>
    <col min="1" max="1" width="5.28515625" style="5" customWidth="1"/>
    <col min="2" max="2" width="67.7109375" style="1" customWidth="1"/>
    <col min="3" max="3" width="12.7109375" style="1" customWidth="1"/>
    <col min="4" max="5" width="9.28515625" style="1" customWidth="1"/>
    <col min="6" max="6" width="13.28515625" style="1" customWidth="1"/>
    <col min="7" max="7" width="14.28515625" style="1" customWidth="1"/>
    <col min="8" max="8" width="13.42578125" style="1" customWidth="1"/>
    <col min="9" max="9" width="12.28515625" style="1" customWidth="1"/>
    <col min="10" max="10" width="11" style="1" customWidth="1"/>
    <col min="11" max="11" width="4.5703125" style="1" customWidth="1"/>
    <col min="12" max="13" width="12.28515625" style="1" customWidth="1"/>
    <col min="14" max="14" width="11.7109375" style="1" customWidth="1"/>
    <col min="15" max="16384" width="9.140625" style="1"/>
  </cols>
  <sheetData>
    <row r="1" spans="1:14" ht="17.25" customHeight="1" x14ac:dyDescent="0.25">
      <c r="A1" s="14"/>
      <c r="B1" s="8"/>
      <c r="C1" s="8"/>
      <c r="D1" s="8"/>
      <c r="E1" s="304" t="s">
        <v>409</v>
      </c>
      <c r="F1" s="304"/>
      <c r="G1" s="305"/>
      <c r="H1" s="305"/>
      <c r="I1" s="305"/>
      <c r="J1" s="305"/>
    </row>
    <row r="2" spans="1:14" ht="18" customHeight="1" x14ac:dyDescent="0.25">
      <c r="A2" s="286" t="s">
        <v>469</v>
      </c>
      <c r="B2" s="286"/>
      <c r="C2" s="286"/>
      <c r="D2" s="286"/>
      <c r="E2" s="286"/>
      <c r="F2" s="286"/>
      <c r="G2" s="286"/>
      <c r="H2" s="286"/>
      <c r="I2" s="286"/>
      <c r="J2" s="286"/>
    </row>
    <row r="3" spans="1:14" ht="15.75" customHeight="1" x14ac:dyDescent="0.25">
      <c r="A3" s="15"/>
      <c r="B3" s="139"/>
      <c r="C3" s="139"/>
      <c r="D3" s="305" t="s">
        <v>516</v>
      </c>
      <c r="E3" s="305"/>
      <c r="F3" s="305"/>
      <c r="G3" s="305"/>
      <c r="H3" s="305"/>
      <c r="I3" s="305"/>
      <c r="J3" s="305"/>
      <c r="K3" s="305"/>
    </row>
    <row r="4" spans="1:14" x14ac:dyDescent="0.2">
      <c r="B4" s="4"/>
      <c r="C4" s="4"/>
      <c r="D4" s="4"/>
      <c r="E4" s="4"/>
      <c r="F4" s="4"/>
      <c r="G4" s="4"/>
    </row>
    <row r="5" spans="1:14" ht="69.75" customHeight="1" x14ac:dyDescent="0.2">
      <c r="A5" s="306" t="s">
        <v>501</v>
      </c>
      <c r="B5" s="306"/>
      <c r="C5" s="306"/>
      <c r="D5" s="306"/>
      <c r="E5" s="306"/>
      <c r="F5" s="306"/>
      <c r="G5" s="306"/>
      <c r="H5" s="306"/>
      <c r="I5" s="306"/>
      <c r="J5" s="306"/>
    </row>
    <row r="6" spans="1:14" ht="18.75" x14ac:dyDescent="0.3">
      <c r="B6" s="213"/>
      <c r="C6" s="213"/>
      <c r="D6" s="213"/>
      <c r="E6" s="213"/>
      <c r="F6" s="213"/>
      <c r="G6" s="213"/>
      <c r="H6" s="216"/>
      <c r="I6" s="216"/>
      <c r="J6" s="216"/>
    </row>
    <row r="7" spans="1:14" ht="13.5" thickBot="1" x14ac:dyDescent="0.25"/>
    <row r="8" spans="1:14" ht="66.75" customHeight="1" thickBot="1" x14ac:dyDescent="0.25">
      <c r="A8" s="214" t="s">
        <v>53</v>
      </c>
      <c r="B8" s="215" t="s">
        <v>13</v>
      </c>
      <c r="C8" s="215" t="s">
        <v>15</v>
      </c>
      <c r="D8" s="215" t="s">
        <v>16</v>
      </c>
      <c r="E8" s="215" t="s">
        <v>14</v>
      </c>
      <c r="F8" s="148" t="s">
        <v>435</v>
      </c>
      <c r="G8" s="115" t="s">
        <v>502</v>
      </c>
      <c r="H8" s="149" t="s">
        <v>503</v>
      </c>
      <c r="I8" s="149" t="s">
        <v>306</v>
      </c>
      <c r="J8" s="116" t="s">
        <v>278</v>
      </c>
      <c r="K8" s="6"/>
      <c r="L8" s="4"/>
    </row>
    <row r="9" spans="1:14" x14ac:dyDescent="0.2">
      <c r="A9" s="118">
        <v>1</v>
      </c>
      <c r="B9" s="119">
        <v>2</v>
      </c>
      <c r="C9" s="119">
        <v>3</v>
      </c>
      <c r="D9" s="119">
        <v>4</v>
      </c>
      <c r="E9" s="119">
        <v>5</v>
      </c>
      <c r="F9" s="119">
        <v>6</v>
      </c>
      <c r="G9" s="119">
        <v>7</v>
      </c>
      <c r="H9" s="119">
        <v>8</v>
      </c>
      <c r="I9" s="119"/>
      <c r="J9" s="120">
        <v>9</v>
      </c>
      <c r="K9" s="6"/>
      <c r="L9" s="4"/>
    </row>
    <row r="10" spans="1:14" ht="28.5" customHeight="1" x14ac:dyDescent="0.2">
      <c r="A10" s="150">
        <v>1</v>
      </c>
      <c r="B10" s="151" t="s">
        <v>307</v>
      </c>
      <c r="C10" s="152" t="s">
        <v>179</v>
      </c>
      <c r="D10" s="152" t="s">
        <v>155</v>
      </c>
      <c r="E10" s="152" t="s">
        <v>155</v>
      </c>
      <c r="F10" s="153">
        <f>F11+F19</f>
        <v>1678.2910000000002</v>
      </c>
      <c r="G10" s="153">
        <f>G11+G19</f>
        <v>3275.3549499999999</v>
      </c>
      <c r="H10" s="153">
        <f>H11+H19</f>
        <v>1986.8910599999999</v>
      </c>
      <c r="I10" s="117">
        <f>G10-H10</f>
        <v>1288.46389</v>
      </c>
      <c r="J10" s="121">
        <f>H10/G10*100</f>
        <v>60.661854679292084</v>
      </c>
      <c r="K10" s="6"/>
      <c r="L10" s="74">
        <f>F10*1000</f>
        <v>1678291.0000000002</v>
      </c>
      <c r="M10" s="74">
        <f>G10*1000</f>
        <v>3275354.9499999997</v>
      </c>
      <c r="N10" s="74">
        <f>H10*1000</f>
        <v>1986891.0599999998</v>
      </c>
    </row>
    <row r="11" spans="1:14" ht="15.75" customHeight="1" x14ac:dyDescent="0.2">
      <c r="A11" s="150">
        <v>2</v>
      </c>
      <c r="B11" s="154" t="s">
        <v>156</v>
      </c>
      <c r="C11" s="155" t="s">
        <v>183</v>
      </c>
      <c r="D11" s="155" t="s">
        <v>155</v>
      </c>
      <c r="E11" s="155" t="s">
        <v>155</v>
      </c>
      <c r="F11" s="156">
        <f t="shared" ref="F11:H14" si="0">F12</f>
        <v>798.29100000000005</v>
      </c>
      <c r="G11" s="156">
        <f t="shared" si="0"/>
        <v>1195.71075</v>
      </c>
      <c r="H11" s="156">
        <f t="shared" si="0"/>
        <v>1074.49056</v>
      </c>
      <c r="I11" s="73">
        <f t="shared" ref="I11:I74" si="1">G11-H11</f>
        <v>121.22019</v>
      </c>
      <c r="J11" s="123">
        <f>H11/G11*100</f>
        <v>89.862080774970039</v>
      </c>
      <c r="K11" s="6"/>
      <c r="L11" s="74">
        <f t="shared" ref="L11:N11" si="2">F11*1000</f>
        <v>798291</v>
      </c>
      <c r="M11" s="79">
        <f t="shared" si="2"/>
        <v>1195710.75</v>
      </c>
      <c r="N11" s="74">
        <f t="shared" si="2"/>
        <v>1074490.56</v>
      </c>
    </row>
    <row r="12" spans="1:14" ht="80.25" customHeight="1" x14ac:dyDescent="0.2">
      <c r="A12" s="150">
        <v>3</v>
      </c>
      <c r="B12" s="154" t="s">
        <v>206</v>
      </c>
      <c r="C12" s="157" t="s">
        <v>178</v>
      </c>
      <c r="D12" s="155" t="s">
        <v>155</v>
      </c>
      <c r="E12" s="155" t="s">
        <v>155</v>
      </c>
      <c r="F12" s="156">
        <f t="shared" si="0"/>
        <v>798.29100000000005</v>
      </c>
      <c r="G12" s="156">
        <f t="shared" si="0"/>
        <v>1195.71075</v>
      </c>
      <c r="H12" s="156">
        <f t="shared" si="0"/>
        <v>1074.49056</v>
      </c>
      <c r="I12" s="73">
        <f t="shared" si="1"/>
        <v>121.22019</v>
      </c>
      <c r="J12" s="123">
        <f t="shared" ref="J12:J79" si="3">H12/G12*100</f>
        <v>89.862080774970039</v>
      </c>
      <c r="K12" s="6"/>
      <c r="L12" s="74">
        <f t="shared" ref="L12:L75" si="4">F12*1000</f>
        <v>798291</v>
      </c>
      <c r="M12" s="79">
        <f t="shared" ref="M12:M75" si="5">G12*1000</f>
        <v>1195710.75</v>
      </c>
      <c r="N12" s="74">
        <f t="shared" ref="N12:N75" si="6">H12*1000</f>
        <v>1074490.56</v>
      </c>
    </row>
    <row r="13" spans="1:14" x14ac:dyDescent="0.2">
      <c r="A13" s="150">
        <v>4</v>
      </c>
      <c r="B13" s="158" t="s">
        <v>71</v>
      </c>
      <c r="C13" s="157" t="s">
        <v>178</v>
      </c>
      <c r="D13" s="57" t="s">
        <v>72</v>
      </c>
      <c r="E13" s="57"/>
      <c r="F13" s="67">
        <f>F14</f>
        <v>798.29100000000005</v>
      </c>
      <c r="G13" s="67">
        <f t="shared" si="0"/>
        <v>1195.71075</v>
      </c>
      <c r="H13" s="67">
        <f t="shared" si="0"/>
        <v>1074.49056</v>
      </c>
      <c r="I13" s="73">
        <f t="shared" si="1"/>
        <v>121.22019</v>
      </c>
      <c r="J13" s="123">
        <f t="shared" si="3"/>
        <v>89.862080774970039</v>
      </c>
      <c r="K13" s="6"/>
      <c r="L13" s="74">
        <f t="shared" si="4"/>
        <v>798291</v>
      </c>
      <c r="M13" s="79">
        <f t="shared" si="5"/>
        <v>1195710.75</v>
      </c>
      <c r="N13" s="74">
        <f t="shared" si="6"/>
        <v>1074490.56</v>
      </c>
    </row>
    <row r="14" spans="1:14" ht="25.5" x14ac:dyDescent="0.2">
      <c r="A14" s="150">
        <v>5</v>
      </c>
      <c r="B14" s="158" t="s">
        <v>157</v>
      </c>
      <c r="C14" s="157" t="s">
        <v>178</v>
      </c>
      <c r="D14" s="57" t="s">
        <v>73</v>
      </c>
      <c r="E14" s="57"/>
      <c r="F14" s="67">
        <f>F15</f>
        <v>798.29100000000005</v>
      </c>
      <c r="G14" s="67">
        <f t="shared" ref="G14" si="7">G15</f>
        <v>1195.71075</v>
      </c>
      <c r="H14" s="67">
        <f t="shared" si="0"/>
        <v>1074.49056</v>
      </c>
      <c r="I14" s="73">
        <f t="shared" si="1"/>
        <v>121.22019</v>
      </c>
      <c r="J14" s="123">
        <f t="shared" si="3"/>
        <v>89.862080774970039</v>
      </c>
      <c r="K14" s="6"/>
      <c r="L14" s="74">
        <f t="shared" si="4"/>
        <v>798291</v>
      </c>
      <c r="M14" s="79">
        <f t="shared" si="5"/>
        <v>1195710.75</v>
      </c>
      <c r="N14" s="74">
        <f t="shared" si="6"/>
        <v>1074490.56</v>
      </c>
    </row>
    <row r="15" spans="1:14" x14ac:dyDescent="0.2">
      <c r="A15" s="150">
        <v>6</v>
      </c>
      <c r="B15" s="58" t="s">
        <v>149</v>
      </c>
      <c r="C15" s="157" t="s">
        <v>178</v>
      </c>
      <c r="D15" s="57" t="s">
        <v>73</v>
      </c>
      <c r="E15" s="57" t="s">
        <v>150</v>
      </c>
      <c r="F15" s="67">
        <f>F16+F17+F18</f>
        <v>798.29100000000005</v>
      </c>
      <c r="G15" s="67">
        <f>G16+G17+G18</f>
        <v>1195.71075</v>
      </c>
      <c r="H15" s="67">
        <f>H16+H17+H18</f>
        <v>1074.49056</v>
      </c>
      <c r="I15" s="73">
        <f t="shared" si="1"/>
        <v>121.22019</v>
      </c>
      <c r="J15" s="123">
        <f t="shared" si="3"/>
        <v>89.862080774970039</v>
      </c>
      <c r="K15" s="6"/>
      <c r="L15" s="74">
        <f t="shared" si="4"/>
        <v>798291</v>
      </c>
      <c r="M15" s="79">
        <f t="shared" si="5"/>
        <v>1195710.75</v>
      </c>
      <c r="N15" s="74">
        <f t="shared" si="6"/>
        <v>1074490.56</v>
      </c>
    </row>
    <row r="16" spans="1:14" x14ac:dyDescent="0.2">
      <c r="A16" s="150">
        <v>7</v>
      </c>
      <c r="B16" s="59" t="s">
        <v>151</v>
      </c>
      <c r="C16" s="157" t="s">
        <v>178</v>
      </c>
      <c r="D16" s="57" t="s">
        <v>73</v>
      </c>
      <c r="E16" s="57" t="s">
        <v>58</v>
      </c>
      <c r="F16" s="156">
        <v>695.2</v>
      </c>
      <c r="G16" s="156">
        <v>751.90274999999997</v>
      </c>
      <c r="H16" s="67">
        <v>630.68255999999997</v>
      </c>
      <c r="I16" s="73">
        <f t="shared" si="1"/>
        <v>121.22019</v>
      </c>
      <c r="J16" s="123">
        <f t="shared" si="3"/>
        <v>83.878208983808079</v>
      </c>
      <c r="K16" s="6"/>
      <c r="L16" s="74">
        <f t="shared" si="4"/>
        <v>695200</v>
      </c>
      <c r="M16" s="79">
        <f t="shared" si="5"/>
        <v>751902.75</v>
      </c>
      <c r="N16" s="74">
        <f t="shared" si="6"/>
        <v>630682.55999999994</v>
      </c>
    </row>
    <row r="17" spans="1:14" x14ac:dyDescent="0.2">
      <c r="A17" s="150">
        <v>8</v>
      </c>
      <c r="B17" s="59" t="s">
        <v>151</v>
      </c>
      <c r="C17" s="157" t="s">
        <v>440</v>
      </c>
      <c r="D17" s="57" t="s">
        <v>73</v>
      </c>
      <c r="E17" s="57" t="s">
        <v>58</v>
      </c>
      <c r="F17" s="156">
        <v>103.09099999999999</v>
      </c>
      <c r="G17" s="156">
        <v>103.09099999999999</v>
      </c>
      <c r="H17" s="156">
        <v>103.09099999999999</v>
      </c>
      <c r="I17" s="73">
        <f t="shared" si="1"/>
        <v>0</v>
      </c>
      <c r="J17" s="123">
        <f t="shared" si="3"/>
        <v>100</v>
      </c>
      <c r="K17" s="6"/>
      <c r="L17" s="74">
        <f t="shared" si="4"/>
        <v>103091</v>
      </c>
      <c r="M17" s="79">
        <f t="shared" si="5"/>
        <v>103091</v>
      </c>
      <c r="N17" s="74">
        <f t="shared" si="6"/>
        <v>103091</v>
      </c>
    </row>
    <row r="18" spans="1:14" x14ac:dyDescent="0.2">
      <c r="A18" s="150">
        <v>9</v>
      </c>
      <c r="B18" s="59" t="s">
        <v>151</v>
      </c>
      <c r="C18" s="157" t="s">
        <v>457</v>
      </c>
      <c r="D18" s="57" t="s">
        <v>73</v>
      </c>
      <c r="E18" s="57" t="s">
        <v>58</v>
      </c>
      <c r="F18" s="156">
        <v>0</v>
      </c>
      <c r="G18" s="156">
        <v>340.71699999999998</v>
      </c>
      <c r="H18" s="156">
        <v>340.71699999999998</v>
      </c>
      <c r="I18" s="73">
        <f t="shared" si="1"/>
        <v>0</v>
      </c>
      <c r="J18" s="123">
        <f t="shared" si="3"/>
        <v>100</v>
      </c>
      <c r="K18" s="6"/>
      <c r="L18" s="74">
        <f t="shared" si="4"/>
        <v>0</v>
      </c>
      <c r="M18" s="79">
        <f t="shared" si="5"/>
        <v>340717</v>
      </c>
      <c r="N18" s="74">
        <f t="shared" si="6"/>
        <v>340717</v>
      </c>
    </row>
    <row r="19" spans="1:14" ht="69.75" customHeight="1" x14ac:dyDescent="0.2">
      <c r="A19" s="150">
        <v>10</v>
      </c>
      <c r="B19" s="154" t="s">
        <v>308</v>
      </c>
      <c r="C19" s="155" t="s">
        <v>184</v>
      </c>
      <c r="D19" s="155" t="s">
        <v>155</v>
      </c>
      <c r="E19" s="155" t="s">
        <v>155</v>
      </c>
      <c r="F19" s="156">
        <f>F20+F25</f>
        <v>880</v>
      </c>
      <c r="G19" s="156">
        <f>G20+G25</f>
        <v>2079.6441999999997</v>
      </c>
      <c r="H19" s="156">
        <f t="shared" ref="H19" si="8">H20+H25</f>
        <v>912.40049999999997</v>
      </c>
      <c r="I19" s="73">
        <f t="shared" si="1"/>
        <v>1167.2436999999998</v>
      </c>
      <c r="J19" s="123">
        <f t="shared" si="3"/>
        <v>43.872913453176274</v>
      </c>
      <c r="K19" s="6"/>
      <c r="L19" s="74">
        <f t="shared" si="4"/>
        <v>880000</v>
      </c>
      <c r="M19" s="79">
        <f t="shared" si="5"/>
        <v>2079644.1999999997</v>
      </c>
      <c r="N19" s="74">
        <f t="shared" si="6"/>
        <v>912400.5</v>
      </c>
    </row>
    <row r="20" spans="1:14" ht="102" x14ac:dyDescent="0.2">
      <c r="A20" s="150">
        <v>11</v>
      </c>
      <c r="B20" s="154" t="s">
        <v>309</v>
      </c>
      <c r="C20" s="157" t="s">
        <v>181</v>
      </c>
      <c r="D20" s="155" t="s">
        <v>155</v>
      </c>
      <c r="E20" s="155" t="s">
        <v>155</v>
      </c>
      <c r="F20" s="156">
        <f>F21</f>
        <v>700</v>
      </c>
      <c r="G20" s="156">
        <f>G21</f>
        <v>770</v>
      </c>
      <c r="H20" s="156">
        <f t="shared" ref="G20:H21" si="9">H21</f>
        <v>652.58590000000004</v>
      </c>
      <c r="I20" s="73">
        <f t="shared" si="1"/>
        <v>117.41409999999996</v>
      </c>
      <c r="J20" s="123">
        <f t="shared" si="3"/>
        <v>84.751415584415597</v>
      </c>
      <c r="K20" s="6"/>
      <c r="L20" s="74">
        <f t="shared" si="4"/>
        <v>700000</v>
      </c>
      <c r="M20" s="79">
        <f t="shared" si="5"/>
        <v>770000</v>
      </c>
      <c r="N20" s="74">
        <f t="shared" si="6"/>
        <v>652585.9</v>
      </c>
    </row>
    <row r="21" spans="1:14" x14ac:dyDescent="0.2">
      <c r="A21" s="150">
        <v>12</v>
      </c>
      <c r="B21" s="158" t="s">
        <v>71</v>
      </c>
      <c r="C21" s="157" t="s">
        <v>181</v>
      </c>
      <c r="D21" s="57" t="s">
        <v>72</v>
      </c>
      <c r="E21" s="57"/>
      <c r="F21" s="67">
        <f t="shared" ref="F21:F22" si="10">F22</f>
        <v>700</v>
      </c>
      <c r="G21" s="156">
        <f t="shared" si="9"/>
        <v>770</v>
      </c>
      <c r="H21" s="156">
        <f t="shared" si="9"/>
        <v>652.58590000000004</v>
      </c>
      <c r="I21" s="73">
        <f t="shared" si="1"/>
        <v>117.41409999999996</v>
      </c>
      <c r="J21" s="123">
        <f t="shared" si="3"/>
        <v>84.751415584415597</v>
      </c>
      <c r="K21" s="6"/>
      <c r="L21" s="74">
        <f t="shared" si="4"/>
        <v>700000</v>
      </c>
      <c r="M21" s="79">
        <f t="shared" si="5"/>
        <v>770000</v>
      </c>
      <c r="N21" s="74">
        <f t="shared" si="6"/>
        <v>652585.9</v>
      </c>
    </row>
    <row r="22" spans="1:14" ht="25.5" x14ac:dyDescent="0.2">
      <c r="A22" s="150">
        <v>13</v>
      </c>
      <c r="B22" s="158" t="s">
        <v>157</v>
      </c>
      <c r="C22" s="157" t="s">
        <v>181</v>
      </c>
      <c r="D22" s="57" t="s">
        <v>73</v>
      </c>
      <c r="E22" s="57"/>
      <c r="F22" s="67">
        <f t="shared" si="10"/>
        <v>700</v>
      </c>
      <c r="G22" s="156">
        <f t="shared" ref="G22:H22" si="11">SUM(G23)</f>
        <v>770</v>
      </c>
      <c r="H22" s="156">
        <f t="shared" si="11"/>
        <v>652.58590000000004</v>
      </c>
      <c r="I22" s="73">
        <f t="shared" si="1"/>
        <v>117.41409999999996</v>
      </c>
      <c r="J22" s="123">
        <f t="shared" si="3"/>
        <v>84.751415584415597</v>
      </c>
      <c r="K22" s="6"/>
      <c r="L22" s="74">
        <f t="shared" si="4"/>
        <v>700000</v>
      </c>
      <c r="M22" s="79">
        <f t="shared" si="5"/>
        <v>770000</v>
      </c>
      <c r="N22" s="74">
        <f t="shared" si="6"/>
        <v>652585.9</v>
      </c>
    </row>
    <row r="23" spans="1:14" x14ac:dyDescent="0.2">
      <c r="A23" s="150">
        <v>14</v>
      </c>
      <c r="B23" s="58" t="s">
        <v>152</v>
      </c>
      <c r="C23" s="157" t="s">
        <v>181</v>
      </c>
      <c r="D23" s="57" t="s">
        <v>73</v>
      </c>
      <c r="E23" s="57" t="s">
        <v>30</v>
      </c>
      <c r="F23" s="67">
        <f>F24</f>
        <v>700</v>
      </c>
      <c r="G23" s="67">
        <f t="shared" ref="G23:H23" si="12">G24</f>
        <v>770</v>
      </c>
      <c r="H23" s="67">
        <f t="shared" si="12"/>
        <v>652.58590000000004</v>
      </c>
      <c r="I23" s="73">
        <f t="shared" si="1"/>
        <v>117.41409999999996</v>
      </c>
      <c r="J23" s="123">
        <f t="shared" si="3"/>
        <v>84.751415584415597</v>
      </c>
      <c r="K23" s="6"/>
      <c r="L23" s="74">
        <f t="shared" si="4"/>
        <v>700000</v>
      </c>
      <c r="M23" s="79">
        <f t="shared" si="5"/>
        <v>770000</v>
      </c>
      <c r="N23" s="74">
        <f t="shared" si="6"/>
        <v>652585.9</v>
      </c>
    </row>
    <row r="24" spans="1:14" x14ac:dyDescent="0.2">
      <c r="A24" s="150">
        <v>15</v>
      </c>
      <c r="B24" s="154" t="s">
        <v>153</v>
      </c>
      <c r="C24" s="157" t="s">
        <v>181</v>
      </c>
      <c r="D24" s="57" t="s">
        <v>387</v>
      </c>
      <c r="E24" s="57" t="s">
        <v>31</v>
      </c>
      <c r="F24" s="67">
        <v>700</v>
      </c>
      <c r="G24" s="156">
        <v>770</v>
      </c>
      <c r="H24" s="156">
        <v>652.58590000000004</v>
      </c>
      <c r="I24" s="73">
        <f t="shared" si="1"/>
        <v>117.41409999999996</v>
      </c>
      <c r="J24" s="123">
        <f t="shared" si="3"/>
        <v>84.751415584415597</v>
      </c>
      <c r="K24" s="6"/>
      <c r="L24" s="74">
        <f t="shared" si="4"/>
        <v>700000</v>
      </c>
      <c r="M24" s="79">
        <f t="shared" si="5"/>
        <v>770000</v>
      </c>
      <c r="N24" s="74">
        <f t="shared" si="6"/>
        <v>652585.9</v>
      </c>
    </row>
    <row r="25" spans="1:14" ht="95.25" customHeight="1" x14ac:dyDescent="0.2">
      <c r="A25" s="150">
        <v>16</v>
      </c>
      <c r="B25" s="154" t="s">
        <v>310</v>
      </c>
      <c r="C25" s="157" t="s">
        <v>182</v>
      </c>
      <c r="D25" s="155" t="s">
        <v>155</v>
      </c>
      <c r="E25" s="155" t="s">
        <v>155</v>
      </c>
      <c r="F25" s="156">
        <f>F26</f>
        <v>180</v>
      </c>
      <c r="G25" s="156">
        <f t="shared" ref="G25:H28" si="13">G26</f>
        <v>1309.6442</v>
      </c>
      <c r="H25" s="156">
        <f t="shared" si="13"/>
        <v>259.81459999999998</v>
      </c>
      <c r="I25" s="73">
        <f t="shared" si="1"/>
        <v>1049.8296</v>
      </c>
      <c r="J25" s="123">
        <f t="shared" si="3"/>
        <v>19.838563787019407</v>
      </c>
      <c r="K25" s="6"/>
      <c r="L25" s="74">
        <f t="shared" si="4"/>
        <v>180000</v>
      </c>
      <c r="M25" s="79">
        <f t="shared" si="5"/>
        <v>1309644.2</v>
      </c>
      <c r="N25" s="74">
        <f t="shared" si="6"/>
        <v>259814.59999999998</v>
      </c>
    </row>
    <row r="26" spans="1:14" x14ac:dyDescent="0.2">
      <c r="A26" s="150">
        <v>17</v>
      </c>
      <c r="B26" s="158" t="s">
        <v>71</v>
      </c>
      <c r="C26" s="157" t="s">
        <v>182</v>
      </c>
      <c r="D26" s="57" t="s">
        <v>72</v>
      </c>
      <c r="E26" s="57"/>
      <c r="F26" s="67">
        <f>F27</f>
        <v>180</v>
      </c>
      <c r="G26" s="67">
        <f t="shared" si="13"/>
        <v>1309.6442</v>
      </c>
      <c r="H26" s="67">
        <f t="shared" si="13"/>
        <v>259.81459999999998</v>
      </c>
      <c r="I26" s="73">
        <f t="shared" si="1"/>
        <v>1049.8296</v>
      </c>
      <c r="J26" s="123">
        <f t="shared" si="3"/>
        <v>19.838563787019407</v>
      </c>
      <c r="K26" s="6"/>
      <c r="L26" s="74">
        <f t="shared" si="4"/>
        <v>180000</v>
      </c>
      <c r="M26" s="79">
        <f t="shared" si="5"/>
        <v>1309644.2</v>
      </c>
      <c r="N26" s="74">
        <f t="shared" si="6"/>
        <v>259814.59999999998</v>
      </c>
    </row>
    <row r="27" spans="1:14" ht="25.5" x14ac:dyDescent="0.2">
      <c r="A27" s="150">
        <v>18</v>
      </c>
      <c r="B27" s="158" t="s">
        <v>157</v>
      </c>
      <c r="C27" s="157" t="s">
        <v>182</v>
      </c>
      <c r="D27" s="57" t="s">
        <v>73</v>
      </c>
      <c r="E27" s="57"/>
      <c r="F27" s="67">
        <f>F28</f>
        <v>180</v>
      </c>
      <c r="G27" s="67">
        <f t="shared" si="13"/>
        <v>1309.6442</v>
      </c>
      <c r="H27" s="67">
        <f t="shared" si="13"/>
        <v>259.81459999999998</v>
      </c>
      <c r="I27" s="73">
        <f t="shared" si="1"/>
        <v>1049.8296</v>
      </c>
      <c r="J27" s="123">
        <f t="shared" si="3"/>
        <v>19.838563787019407</v>
      </c>
      <c r="K27" s="6"/>
      <c r="L27" s="74">
        <f t="shared" si="4"/>
        <v>180000</v>
      </c>
      <c r="M27" s="79">
        <f t="shared" si="5"/>
        <v>1309644.2</v>
      </c>
      <c r="N27" s="74">
        <f t="shared" si="6"/>
        <v>259814.59999999998</v>
      </c>
    </row>
    <row r="28" spans="1:14" ht="12" customHeight="1" x14ac:dyDescent="0.2">
      <c r="A28" s="150">
        <v>19</v>
      </c>
      <c r="B28" s="58" t="s">
        <v>152</v>
      </c>
      <c r="C28" s="157" t="s">
        <v>182</v>
      </c>
      <c r="D28" s="57" t="s">
        <v>73</v>
      </c>
      <c r="E28" s="57" t="s">
        <v>30</v>
      </c>
      <c r="F28" s="67">
        <f>F29</f>
        <v>180</v>
      </c>
      <c r="G28" s="67">
        <f t="shared" si="13"/>
        <v>1309.6442</v>
      </c>
      <c r="H28" s="67">
        <f t="shared" si="13"/>
        <v>259.81459999999998</v>
      </c>
      <c r="I28" s="73">
        <f t="shared" si="1"/>
        <v>1049.8296</v>
      </c>
      <c r="J28" s="123">
        <f t="shared" si="3"/>
        <v>19.838563787019407</v>
      </c>
      <c r="K28" s="6"/>
      <c r="L28" s="74">
        <f t="shared" si="4"/>
        <v>180000</v>
      </c>
      <c r="M28" s="79">
        <f t="shared" si="5"/>
        <v>1309644.2</v>
      </c>
      <c r="N28" s="74">
        <f t="shared" si="6"/>
        <v>259814.59999999998</v>
      </c>
    </row>
    <row r="29" spans="1:14" x14ac:dyDescent="0.2">
      <c r="A29" s="150">
        <v>20</v>
      </c>
      <c r="B29" s="154" t="s">
        <v>153</v>
      </c>
      <c r="C29" s="157" t="s">
        <v>182</v>
      </c>
      <c r="D29" s="57" t="s">
        <v>73</v>
      </c>
      <c r="E29" s="57" t="s">
        <v>31</v>
      </c>
      <c r="F29" s="67">
        <v>180</v>
      </c>
      <c r="G29" s="72">
        <v>1309.6442</v>
      </c>
      <c r="H29" s="72">
        <v>259.81459999999998</v>
      </c>
      <c r="I29" s="73">
        <f t="shared" si="1"/>
        <v>1049.8296</v>
      </c>
      <c r="J29" s="123">
        <f t="shared" si="3"/>
        <v>19.838563787019407</v>
      </c>
      <c r="K29" s="6"/>
      <c r="L29" s="74">
        <f t="shared" si="4"/>
        <v>180000</v>
      </c>
      <c r="M29" s="79">
        <f t="shared" si="5"/>
        <v>1309644.2</v>
      </c>
      <c r="N29" s="74">
        <f t="shared" si="6"/>
        <v>259814.59999999998</v>
      </c>
    </row>
    <row r="30" spans="1:14" ht="29.25" customHeight="1" x14ac:dyDescent="0.2">
      <c r="A30" s="150">
        <v>21</v>
      </c>
      <c r="B30" s="151" t="s">
        <v>415</v>
      </c>
      <c r="C30" s="152" t="s">
        <v>174</v>
      </c>
      <c r="D30" s="152" t="s">
        <v>155</v>
      </c>
      <c r="E30" s="152" t="s">
        <v>155</v>
      </c>
      <c r="F30" s="156">
        <f>F31</f>
        <v>0</v>
      </c>
      <c r="G30" s="73">
        <f t="shared" ref="G30" si="14">G31</f>
        <v>237.89500000000001</v>
      </c>
      <c r="H30" s="73">
        <f>H31</f>
        <v>237.89500000000001</v>
      </c>
      <c r="I30" s="73">
        <f t="shared" si="1"/>
        <v>0</v>
      </c>
      <c r="J30" s="123">
        <f t="shared" si="3"/>
        <v>100</v>
      </c>
      <c r="K30" s="6"/>
      <c r="L30" s="74">
        <f t="shared" si="4"/>
        <v>0</v>
      </c>
      <c r="M30" s="79">
        <f t="shared" si="5"/>
        <v>237895</v>
      </c>
      <c r="N30" s="74">
        <f t="shared" si="6"/>
        <v>237895</v>
      </c>
    </row>
    <row r="31" spans="1:14" x14ac:dyDescent="0.2">
      <c r="A31" s="150">
        <v>22</v>
      </c>
      <c r="B31" s="154" t="s">
        <v>207</v>
      </c>
      <c r="C31" s="155" t="s">
        <v>196</v>
      </c>
      <c r="D31" s="155" t="s">
        <v>155</v>
      </c>
      <c r="E31" s="155" t="s">
        <v>155</v>
      </c>
      <c r="F31" s="156">
        <f t="shared" ref="F31" si="15">F32</f>
        <v>0</v>
      </c>
      <c r="G31" s="156">
        <f>SUM(G32:G32)</f>
        <v>237.89500000000001</v>
      </c>
      <c r="H31" s="156">
        <f>SUM(H32:H32)</f>
        <v>237.89500000000001</v>
      </c>
      <c r="I31" s="73">
        <f t="shared" si="1"/>
        <v>0</v>
      </c>
      <c r="J31" s="123">
        <f t="shared" si="3"/>
        <v>100</v>
      </c>
      <c r="K31" s="6"/>
      <c r="L31" s="74">
        <f t="shared" si="4"/>
        <v>0</v>
      </c>
      <c r="M31" s="79">
        <f t="shared" si="5"/>
        <v>237895</v>
      </c>
      <c r="N31" s="74">
        <f t="shared" si="6"/>
        <v>237895</v>
      </c>
    </row>
    <row r="32" spans="1:14" ht="15.75" customHeight="1" x14ac:dyDescent="0.2">
      <c r="A32" s="150">
        <v>23</v>
      </c>
      <c r="B32" s="154" t="s">
        <v>311</v>
      </c>
      <c r="C32" s="157" t="s">
        <v>312</v>
      </c>
      <c r="D32" s="155" t="s">
        <v>155</v>
      </c>
      <c r="E32" s="155" t="s">
        <v>155</v>
      </c>
      <c r="F32" s="156">
        <f>F33</f>
        <v>0</v>
      </c>
      <c r="G32" s="156">
        <f t="shared" ref="G32:H35" si="16">G33</f>
        <v>237.89500000000001</v>
      </c>
      <c r="H32" s="156">
        <f t="shared" si="16"/>
        <v>237.89500000000001</v>
      </c>
      <c r="I32" s="73">
        <f t="shared" si="1"/>
        <v>0</v>
      </c>
      <c r="J32" s="123">
        <f t="shared" si="3"/>
        <v>100</v>
      </c>
      <c r="K32" s="6"/>
      <c r="L32" s="74">
        <f t="shared" si="4"/>
        <v>0</v>
      </c>
      <c r="M32" s="79">
        <f t="shared" si="5"/>
        <v>237895</v>
      </c>
      <c r="N32" s="74">
        <f t="shared" si="6"/>
        <v>237895</v>
      </c>
    </row>
    <row r="33" spans="1:14" ht="12.75" customHeight="1" x14ac:dyDescent="0.2">
      <c r="A33" s="150">
        <v>24</v>
      </c>
      <c r="B33" s="158" t="s">
        <v>71</v>
      </c>
      <c r="C33" s="157" t="s">
        <v>312</v>
      </c>
      <c r="D33" s="57" t="s">
        <v>72</v>
      </c>
      <c r="E33" s="57"/>
      <c r="F33" s="67">
        <f>F34</f>
        <v>0</v>
      </c>
      <c r="G33" s="67">
        <f t="shared" si="16"/>
        <v>237.89500000000001</v>
      </c>
      <c r="H33" s="67">
        <f t="shared" si="16"/>
        <v>237.89500000000001</v>
      </c>
      <c r="I33" s="73">
        <f t="shared" si="1"/>
        <v>0</v>
      </c>
      <c r="J33" s="123">
        <f t="shared" si="3"/>
        <v>100</v>
      </c>
      <c r="K33" s="6"/>
      <c r="L33" s="74">
        <f t="shared" si="4"/>
        <v>0</v>
      </c>
      <c r="M33" s="79">
        <f t="shared" si="5"/>
        <v>237895</v>
      </c>
      <c r="N33" s="74">
        <f t="shared" si="6"/>
        <v>237895</v>
      </c>
    </row>
    <row r="34" spans="1:14" ht="25.5" customHeight="1" x14ac:dyDescent="0.2">
      <c r="A34" s="150">
        <v>25</v>
      </c>
      <c r="B34" s="158" t="s">
        <v>157</v>
      </c>
      <c r="C34" s="157" t="s">
        <v>235</v>
      </c>
      <c r="D34" s="57" t="s">
        <v>73</v>
      </c>
      <c r="E34" s="57"/>
      <c r="F34" s="67">
        <f>F35</f>
        <v>0</v>
      </c>
      <c r="G34" s="67">
        <f t="shared" si="16"/>
        <v>237.89500000000001</v>
      </c>
      <c r="H34" s="67">
        <f t="shared" si="16"/>
        <v>237.89500000000001</v>
      </c>
      <c r="I34" s="73">
        <f t="shared" si="1"/>
        <v>0</v>
      </c>
      <c r="J34" s="123">
        <f t="shared" si="3"/>
        <v>100</v>
      </c>
      <c r="K34" s="6"/>
      <c r="L34" s="74">
        <f t="shared" si="4"/>
        <v>0</v>
      </c>
      <c r="M34" s="79">
        <f t="shared" si="5"/>
        <v>237895</v>
      </c>
      <c r="N34" s="74">
        <f t="shared" si="6"/>
        <v>237895</v>
      </c>
    </row>
    <row r="35" spans="1:14" ht="14.25" customHeight="1" x14ac:dyDescent="0.2">
      <c r="A35" s="150">
        <v>26</v>
      </c>
      <c r="B35" s="60" t="s">
        <v>186</v>
      </c>
      <c r="C35" s="157" t="s">
        <v>235</v>
      </c>
      <c r="D35" s="57" t="s">
        <v>73</v>
      </c>
      <c r="E35" s="57" t="s">
        <v>195</v>
      </c>
      <c r="F35" s="67">
        <f>F36</f>
        <v>0</v>
      </c>
      <c r="G35" s="67">
        <f t="shared" si="16"/>
        <v>237.89500000000001</v>
      </c>
      <c r="H35" s="67">
        <f t="shared" si="16"/>
        <v>237.89500000000001</v>
      </c>
      <c r="I35" s="73">
        <f t="shared" si="1"/>
        <v>0</v>
      </c>
      <c r="J35" s="123">
        <f t="shared" si="3"/>
        <v>100</v>
      </c>
      <c r="K35" s="6"/>
      <c r="L35" s="74">
        <f t="shared" si="4"/>
        <v>0</v>
      </c>
      <c r="M35" s="79">
        <f t="shared" si="5"/>
        <v>237895</v>
      </c>
      <c r="N35" s="74">
        <f t="shared" si="6"/>
        <v>237895</v>
      </c>
    </row>
    <row r="36" spans="1:14" ht="12" customHeight="1" x14ac:dyDescent="0.2">
      <c r="A36" s="150">
        <v>27</v>
      </c>
      <c r="B36" s="59" t="s">
        <v>287</v>
      </c>
      <c r="C36" s="157" t="s">
        <v>235</v>
      </c>
      <c r="D36" s="57" t="s">
        <v>73</v>
      </c>
      <c r="E36" s="57" t="s">
        <v>187</v>
      </c>
      <c r="F36" s="156">
        <v>0</v>
      </c>
      <c r="G36" s="156">
        <f>216.025+9.975+11.37+0.525</f>
        <v>237.89500000000001</v>
      </c>
      <c r="H36" s="156">
        <f>216.025+9.975+11.37+0.525</f>
        <v>237.89500000000001</v>
      </c>
      <c r="I36" s="73">
        <f t="shared" si="1"/>
        <v>0</v>
      </c>
      <c r="J36" s="123">
        <f t="shared" si="3"/>
        <v>100</v>
      </c>
      <c r="K36" s="6"/>
      <c r="L36" s="74">
        <f t="shared" si="4"/>
        <v>0</v>
      </c>
      <c r="M36" s="79">
        <f t="shared" si="5"/>
        <v>237895</v>
      </c>
      <c r="N36" s="74">
        <f t="shared" si="6"/>
        <v>237895</v>
      </c>
    </row>
    <row r="37" spans="1:14" ht="40.5" customHeight="1" x14ac:dyDescent="0.2">
      <c r="A37" s="150">
        <v>28</v>
      </c>
      <c r="B37" s="218" t="s">
        <v>416</v>
      </c>
      <c r="C37" s="229" t="s">
        <v>404</v>
      </c>
      <c r="D37" s="105"/>
      <c r="E37" s="105"/>
      <c r="F37" s="160">
        <f>F39</f>
        <v>1</v>
      </c>
      <c r="G37" s="160">
        <f>G39</f>
        <v>1</v>
      </c>
      <c r="H37" s="160">
        <f>H39</f>
        <v>1</v>
      </c>
      <c r="I37" s="73">
        <f t="shared" si="1"/>
        <v>0</v>
      </c>
      <c r="J37" s="123">
        <f t="shared" si="3"/>
        <v>100</v>
      </c>
      <c r="K37" s="6"/>
      <c r="L37" s="74">
        <f t="shared" si="4"/>
        <v>1000</v>
      </c>
      <c r="M37" s="79">
        <f t="shared" si="5"/>
        <v>1000</v>
      </c>
      <c r="N37" s="74">
        <f t="shared" si="6"/>
        <v>1000</v>
      </c>
    </row>
    <row r="38" spans="1:14" ht="37.5" customHeight="1" x14ac:dyDescent="0.2">
      <c r="A38" s="150">
        <v>29</v>
      </c>
      <c r="B38" s="218" t="s">
        <v>403</v>
      </c>
      <c r="C38" s="35" t="s">
        <v>405</v>
      </c>
      <c r="D38" s="105"/>
      <c r="E38" s="105"/>
      <c r="F38" s="160">
        <f>F39</f>
        <v>1</v>
      </c>
      <c r="G38" s="160">
        <f>G39</f>
        <v>1</v>
      </c>
      <c r="H38" s="160">
        <f t="shared" ref="H38" si="17">H39</f>
        <v>1</v>
      </c>
      <c r="I38" s="73">
        <f t="shared" si="1"/>
        <v>0</v>
      </c>
      <c r="J38" s="123">
        <f t="shared" si="3"/>
        <v>100</v>
      </c>
      <c r="K38" s="6"/>
      <c r="L38" s="74">
        <f t="shared" si="4"/>
        <v>1000</v>
      </c>
      <c r="M38" s="79">
        <f t="shared" si="5"/>
        <v>1000</v>
      </c>
      <c r="N38" s="74">
        <f t="shared" si="6"/>
        <v>1000</v>
      </c>
    </row>
    <row r="39" spans="1:14" ht="16.5" customHeight="1" x14ac:dyDescent="0.2">
      <c r="A39" s="150">
        <v>30</v>
      </c>
      <c r="B39" s="103" t="s">
        <v>71</v>
      </c>
      <c r="C39" s="35" t="s">
        <v>399</v>
      </c>
      <c r="D39" s="105" t="s">
        <v>72</v>
      </c>
      <c r="E39" s="105" t="s">
        <v>195</v>
      </c>
      <c r="F39" s="160">
        <f>F40</f>
        <v>1</v>
      </c>
      <c r="G39" s="160">
        <f>G40</f>
        <v>1</v>
      </c>
      <c r="H39" s="160">
        <f>H40</f>
        <v>1</v>
      </c>
      <c r="I39" s="73">
        <f t="shared" si="1"/>
        <v>0</v>
      </c>
      <c r="J39" s="123">
        <f t="shared" si="3"/>
        <v>100</v>
      </c>
      <c r="K39" s="6"/>
      <c r="L39" s="74">
        <f t="shared" si="4"/>
        <v>1000</v>
      </c>
      <c r="M39" s="79">
        <f t="shared" si="5"/>
        <v>1000</v>
      </c>
      <c r="N39" s="74">
        <f t="shared" si="6"/>
        <v>1000</v>
      </c>
    </row>
    <row r="40" spans="1:14" ht="12" customHeight="1" x14ac:dyDescent="0.2">
      <c r="A40" s="150">
        <v>31</v>
      </c>
      <c r="B40" s="103" t="s">
        <v>157</v>
      </c>
      <c r="C40" s="35" t="s">
        <v>399</v>
      </c>
      <c r="D40" s="105" t="s">
        <v>73</v>
      </c>
      <c r="E40" s="105" t="s">
        <v>232</v>
      </c>
      <c r="F40" s="160">
        <v>1</v>
      </c>
      <c r="G40" s="160">
        <v>1</v>
      </c>
      <c r="H40" s="160">
        <v>1</v>
      </c>
      <c r="I40" s="73">
        <f t="shared" si="1"/>
        <v>0</v>
      </c>
      <c r="J40" s="123">
        <f t="shared" si="3"/>
        <v>100</v>
      </c>
      <c r="K40" s="6"/>
      <c r="L40" s="74">
        <f t="shared" si="4"/>
        <v>1000</v>
      </c>
      <c r="M40" s="79">
        <f t="shared" si="5"/>
        <v>1000</v>
      </c>
      <c r="N40" s="74">
        <f t="shared" si="6"/>
        <v>1000</v>
      </c>
    </row>
    <row r="41" spans="1:14" ht="12.75" customHeight="1" x14ac:dyDescent="0.2">
      <c r="A41" s="150">
        <v>32</v>
      </c>
      <c r="B41" s="61" t="s">
        <v>140</v>
      </c>
      <c r="C41" s="155">
        <v>6100000000</v>
      </c>
      <c r="D41" s="101"/>
      <c r="E41" s="101"/>
      <c r="F41" s="102">
        <f>F42</f>
        <v>948.13982999999996</v>
      </c>
      <c r="G41" s="102">
        <f>G42</f>
        <v>998.58723999999995</v>
      </c>
      <c r="H41" s="102">
        <f t="shared" ref="G41:H57" si="18">H42</f>
        <v>994.68724000000009</v>
      </c>
      <c r="I41" s="73">
        <f t="shared" si="1"/>
        <v>3.8999999999998636</v>
      </c>
      <c r="J41" s="123">
        <f t="shared" si="3"/>
        <v>99.609448244101344</v>
      </c>
      <c r="K41" s="6"/>
      <c r="L41" s="74">
        <f t="shared" si="4"/>
        <v>948139.83</v>
      </c>
      <c r="M41" s="79">
        <f t="shared" si="5"/>
        <v>998587.24</v>
      </c>
      <c r="N41" s="74">
        <f t="shared" si="6"/>
        <v>994687.24000000011</v>
      </c>
    </row>
    <row r="42" spans="1:14" ht="25.5" customHeight="1" x14ac:dyDescent="0.2">
      <c r="A42" s="150">
        <v>33</v>
      </c>
      <c r="B42" s="60" t="s">
        <v>141</v>
      </c>
      <c r="C42" s="155" t="s">
        <v>271</v>
      </c>
      <c r="D42" s="62"/>
      <c r="E42" s="62"/>
      <c r="F42" s="102">
        <f>F43+F47</f>
        <v>948.13982999999996</v>
      </c>
      <c r="G42" s="102">
        <f>G43+G47</f>
        <v>998.58723999999995</v>
      </c>
      <c r="H42" s="102">
        <f t="shared" ref="H42" si="19">H43+H47</f>
        <v>994.68724000000009</v>
      </c>
      <c r="I42" s="73">
        <f t="shared" si="1"/>
        <v>3.8999999999998636</v>
      </c>
      <c r="J42" s="123">
        <f t="shared" si="3"/>
        <v>99.609448244101344</v>
      </c>
      <c r="K42" s="6"/>
      <c r="L42" s="74">
        <f t="shared" si="4"/>
        <v>948139.83</v>
      </c>
      <c r="M42" s="79">
        <f t="shared" si="5"/>
        <v>998587.24</v>
      </c>
      <c r="N42" s="74">
        <f t="shared" si="6"/>
        <v>994687.24000000011</v>
      </c>
    </row>
    <row r="43" spans="1:14" ht="40.5" customHeight="1" x14ac:dyDescent="0.2">
      <c r="A43" s="150">
        <v>34</v>
      </c>
      <c r="B43" s="60" t="s">
        <v>69</v>
      </c>
      <c r="C43" s="155" t="s">
        <v>168</v>
      </c>
      <c r="D43" s="62" t="s">
        <v>70</v>
      </c>
      <c r="E43" s="62"/>
      <c r="F43" s="102">
        <f t="shared" ref="F43:F45" si="20">F44</f>
        <v>948.13982999999996</v>
      </c>
      <c r="G43" s="156">
        <f>G44</f>
        <v>958.13982999999996</v>
      </c>
      <c r="H43" s="156">
        <f t="shared" si="18"/>
        <v>954.2398300000001</v>
      </c>
      <c r="I43" s="73">
        <f t="shared" si="1"/>
        <v>3.8999999999998636</v>
      </c>
      <c r="J43" s="123">
        <f t="shared" si="3"/>
        <v>99.592961290420433</v>
      </c>
      <c r="K43" s="6"/>
      <c r="L43" s="74">
        <f t="shared" si="4"/>
        <v>948139.83</v>
      </c>
      <c r="M43" s="79">
        <f t="shared" si="5"/>
        <v>958139.83</v>
      </c>
      <c r="N43" s="74">
        <f t="shared" si="6"/>
        <v>954239.83000000007</v>
      </c>
    </row>
    <row r="44" spans="1:14" ht="15.75" customHeight="1" x14ac:dyDescent="0.2">
      <c r="A44" s="150">
        <v>35</v>
      </c>
      <c r="B44" s="60" t="s">
        <v>158</v>
      </c>
      <c r="C44" s="155" t="s">
        <v>168</v>
      </c>
      <c r="D44" s="62" t="s">
        <v>74</v>
      </c>
      <c r="E44" s="62"/>
      <c r="F44" s="102">
        <f t="shared" si="20"/>
        <v>948.13982999999996</v>
      </c>
      <c r="G44" s="156">
        <f t="shared" si="18"/>
        <v>958.13982999999996</v>
      </c>
      <c r="H44" s="156">
        <f t="shared" si="18"/>
        <v>954.2398300000001</v>
      </c>
      <c r="I44" s="73">
        <f t="shared" si="1"/>
        <v>3.8999999999998636</v>
      </c>
      <c r="J44" s="123">
        <f t="shared" si="3"/>
        <v>99.592961290420433</v>
      </c>
      <c r="K44" s="6"/>
      <c r="L44" s="74">
        <f t="shared" si="4"/>
        <v>948139.83</v>
      </c>
      <c r="M44" s="79">
        <f t="shared" si="5"/>
        <v>958139.83</v>
      </c>
      <c r="N44" s="74">
        <f t="shared" si="6"/>
        <v>954239.83000000007</v>
      </c>
    </row>
    <row r="45" spans="1:14" ht="15" customHeight="1" x14ac:dyDescent="0.2">
      <c r="A45" s="150">
        <v>36</v>
      </c>
      <c r="B45" s="103" t="s">
        <v>285</v>
      </c>
      <c r="C45" s="155" t="s">
        <v>168</v>
      </c>
      <c r="D45" s="62" t="s">
        <v>74</v>
      </c>
      <c r="E45" s="62" t="s">
        <v>24</v>
      </c>
      <c r="F45" s="102">
        <f t="shared" si="20"/>
        <v>948.13982999999996</v>
      </c>
      <c r="G45" s="156">
        <f t="shared" si="18"/>
        <v>958.13982999999996</v>
      </c>
      <c r="H45" s="156">
        <f t="shared" si="18"/>
        <v>954.2398300000001</v>
      </c>
      <c r="I45" s="73">
        <f t="shared" si="1"/>
        <v>3.8999999999998636</v>
      </c>
      <c r="J45" s="123">
        <f t="shared" si="3"/>
        <v>99.592961290420433</v>
      </c>
      <c r="K45" s="6"/>
      <c r="L45" s="74">
        <f t="shared" si="4"/>
        <v>948139.83</v>
      </c>
      <c r="M45" s="79">
        <f t="shared" si="5"/>
        <v>958139.83</v>
      </c>
      <c r="N45" s="74">
        <f t="shared" si="6"/>
        <v>954239.83000000007</v>
      </c>
    </row>
    <row r="46" spans="1:14" ht="25.5" customHeight="1" x14ac:dyDescent="0.2">
      <c r="A46" s="150">
        <v>37</v>
      </c>
      <c r="B46" s="60" t="s">
        <v>18</v>
      </c>
      <c r="C46" s="155" t="s">
        <v>168</v>
      </c>
      <c r="D46" s="62" t="s">
        <v>74</v>
      </c>
      <c r="E46" s="62" t="s">
        <v>25</v>
      </c>
      <c r="F46" s="102">
        <f>(722073.6+218066.23+3000+5000)/1000</f>
        <v>948.13982999999996</v>
      </c>
      <c r="G46" s="102">
        <f>(722073.6+218066.23+6000+12000)/1000</f>
        <v>958.13982999999996</v>
      </c>
      <c r="H46" s="156">
        <f>722.0736+14.1+218.06623</f>
        <v>954.2398300000001</v>
      </c>
      <c r="I46" s="73">
        <f t="shared" si="1"/>
        <v>3.8999999999998636</v>
      </c>
      <c r="J46" s="123">
        <f t="shared" si="3"/>
        <v>99.592961290420433</v>
      </c>
      <c r="K46" s="6"/>
      <c r="L46" s="74">
        <f t="shared" si="4"/>
        <v>948139.83</v>
      </c>
      <c r="M46" s="79">
        <f t="shared" si="5"/>
        <v>958139.83</v>
      </c>
      <c r="N46" s="74">
        <f t="shared" si="6"/>
        <v>954239.83000000007</v>
      </c>
    </row>
    <row r="47" spans="1:14" ht="25.5" customHeight="1" x14ac:dyDescent="0.2">
      <c r="A47" s="150">
        <v>38</v>
      </c>
      <c r="B47" s="60" t="s">
        <v>69</v>
      </c>
      <c r="C47" s="155" t="s">
        <v>452</v>
      </c>
      <c r="D47" s="62" t="s">
        <v>70</v>
      </c>
      <c r="E47" s="62"/>
      <c r="F47" s="102">
        <f>F48</f>
        <v>0</v>
      </c>
      <c r="G47" s="156">
        <f>G48</f>
        <v>40.447409999999998</v>
      </c>
      <c r="H47" s="156">
        <f t="shared" si="18"/>
        <v>40.447409999999998</v>
      </c>
      <c r="I47" s="73">
        <f t="shared" si="1"/>
        <v>0</v>
      </c>
      <c r="J47" s="123">
        <f t="shared" si="3"/>
        <v>100</v>
      </c>
      <c r="K47" s="6"/>
      <c r="L47" s="74">
        <f t="shared" si="4"/>
        <v>0</v>
      </c>
      <c r="M47" s="79">
        <f t="shared" si="5"/>
        <v>40447.409999999996</v>
      </c>
      <c r="N47" s="74">
        <f t="shared" si="6"/>
        <v>40447.409999999996</v>
      </c>
    </row>
    <row r="48" spans="1:14" ht="25.5" x14ac:dyDescent="0.2">
      <c r="A48" s="150">
        <v>39</v>
      </c>
      <c r="B48" s="60" t="s">
        <v>458</v>
      </c>
      <c r="C48" s="155" t="s">
        <v>452</v>
      </c>
      <c r="D48" s="62" t="s">
        <v>74</v>
      </c>
      <c r="E48" s="62"/>
      <c r="F48" s="102">
        <f>F49</f>
        <v>0</v>
      </c>
      <c r="G48" s="156">
        <f t="shared" si="18"/>
        <v>40.447409999999998</v>
      </c>
      <c r="H48" s="156">
        <f t="shared" si="18"/>
        <v>40.447409999999998</v>
      </c>
      <c r="I48" s="73">
        <f t="shared" si="1"/>
        <v>0</v>
      </c>
      <c r="J48" s="123">
        <f t="shared" si="3"/>
        <v>100</v>
      </c>
      <c r="K48" s="6"/>
      <c r="L48" s="74">
        <f t="shared" si="4"/>
        <v>0</v>
      </c>
      <c r="M48" s="79">
        <f t="shared" si="5"/>
        <v>40447.409999999996</v>
      </c>
      <c r="N48" s="74">
        <f t="shared" si="6"/>
        <v>40447.409999999996</v>
      </c>
    </row>
    <row r="49" spans="1:14" x14ac:dyDescent="0.2">
      <c r="A49" s="150">
        <v>40</v>
      </c>
      <c r="B49" s="103" t="s">
        <v>285</v>
      </c>
      <c r="C49" s="155" t="s">
        <v>452</v>
      </c>
      <c r="D49" s="62" t="s">
        <v>74</v>
      </c>
      <c r="E49" s="62" t="s">
        <v>24</v>
      </c>
      <c r="F49" s="102">
        <f>F50</f>
        <v>0</v>
      </c>
      <c r="G49" s="156">
        <f t="shared" si="18"/>
        <v>40.447409999999998</v>
      </c>
      <c r="H49" s="156">
        <f t="shared" si="18"/>
        <v>40.447409999999998</v>
      </c>
      <c r="I49" s="73">
        <f t="shared" si="1"/>
        <v>0</v>
      </c>
      <c r="J49" s="123">
        <f t="shared" si="3"/>
        <v>100</v>
      </c>
      <c r="K49" s="6"/>
      <c r="L49" s="74">
        <f t="shared" si="4"/>
        <v>0</v>
      </c>
      <c r="M49" s="79">
        <f t="shared" si="5"/>
        <v>40447.409999999996</v>
      </c>
      <c r="N49" s="74">
        <f t="shared" si="6"/>
        <v>40447.409999999996</v>
      </c>
    </row>
    <row r="50" spans="1:14" ht="25.5" customHeight="1" x14ac:dyDescent="0.2">
      <c r="A50" s="150">
        <v>41</v>
      </c>
      <c r="B50" s="60" t="s">
        <v>18</v>
      </c>
      <c r="C50" s="155" t="s">
        <v>452</v>
      </c>
      <c r="D50" s="62" t="s">
        <v>74</v>
      </c>
      <c r="E50" s="62" t="s">
        <v>25</v>
      </c>
      <c r="F50" s="102">
        <v>0</v>
      </c>
      <c r="G50" s="102">
        <f>(31065.6+9381.81)/1000</f>
        <v>40.447409999999998</v>
      </c>
      <c r="H50" s="102">
        <f>(31065.6+9381.81)/1000</f>
        <v>40.447409999999998</v>
      </c>
      <c r="I50" s="73">
        <f t="shared" si="1"/>
        <v>0</v>
      </c>
      <c r="J50" s="123">
        <f t="shared" si="3"/>
        <v>100</v>
      </c>
      <c r="K50" s="6"/>
      <c r="L50" s="74">
        <f t="shared" si="4"/>
        <v>0</v>
      </c>
      <c r="M50" s="79">
        <f t="shared" si="5"/>
        <v>40447.409999999996</v>
      </c>
      <c r="N50" s="74">
        <f t="shared" si="6"/>
        <v>40447.409999999996</v>
      </c>
    </row>
    <row r="51" spans="1:14" x14ac:dyDescent="0.2">
      <c r="A51" s="150">
        <v>42</v>
      </c>
      <c r="B51" s="61" t="s">
        <v>140</v>
      </c>
      <c r="C51" s="155">
        <v>6200000000</v>
      </c>
      <c r="D51" s="62"/>
      <c r="E51" s="62"/>
      <c r="F51" s="102">
        <f>F52</f>
        <v>783.44985999999994</v>
      </c>
      <c r="G51" s="102">
        <f>G52</f>
        <v>895.49268000000006</v>
      </c>
      <c r="H51" s="102">
        <f t="shared" ref="H51" si="21">H52</f>
        <v>895.49268000000006</v>
      </c>
      <c r="I51" s="73">
        <f t="shared" si="1"/>
        <v>0</v>
      </c>
      <c r="J51" s="123">
        <f t="shared" si="3"/>
        <v>100</v>
      </c>
      <c r="K51" s="6"/>
      <c r="L51" s="74">
        <f t="shared" si="4"/>
        <v>783449.86</v>
      </c>
      <c r="M51" s="79">
        <f t="shared" si="5"/>
        <v>895492.68</v>
      </c>
      <c r="N51" s="74">
        <f t="shared" si="6"/>
        <v>895492.68</v>
      </c>
    </row>
    <row r="52" spans="1:14" x14ac:dyDescent="0.2">
      <c r="A52" s="150">
        <v>43</v>
      </c>
      <c r="B52" s="60" t="s">
        <v>142</v>
      </c>
      <c r="C52" s="155" t="s">
        <v>272</v>
      </c>
      <c r="D52" s="62"/>
      <c r="E52" s="62"/>
      <c r="F52" s="102">
        <f>F53+F57</f>
        <v>783.44985999999994</v>
      </c>
      <c r="G52" s="102">
        <f t="shared" ref="G52:H52" si="22">G53+G57</f>
        <v>895.49268000000006</v>
      </c>
      <c r="H52" s="102">
        <f t="shared" si="22"/>
        <v>895.49268000000006</v>
      </c>
      <c r="I52" s="73">
        <f t="shared" si="1"/>
        <v>0</v>
      </c>
      <c r="J52" s="123">
        <f t="shared" si="3"/>
        <v>100</v>
      </c>
      <c r="K52" s="6"/>
      <c r="L52" s="74">
        <f t="shared" si="4"/>
        <v>783449.86</v>
      </c>
      <c r="M52" s="79">
        <f t="shared" si="5"/>
        <v>895492.68</v>
      </c>
      <c r="N52" s="74">
        <f t="shared" si="6"/>
        <v>895492.68</v>
      </c>
    </row>
    <row r="53" spans="1:14" ht="38.25" x14ac:dyDescent="0.2">
      <c r="A53" s="150">
        <v>44</v>
      </c>
      <c r="B53" s="60" t="s">
        <v>69</v>
      </c>
      <c r="C53" s="155" t="s">
        <v>169</v>
      </c>
      <c r="D53" s="62" t="s">
        <v>70</v>
      </c>
      <c r="E53" s="62"/>
      <c r="F53" s="102">
        <f t="shared" ref="F53" si="23">F54</f>
        <v>783.44985999999994</v>
      </c>
      <c r="G53" s="156">
        <f t="shared" si="18"/>
        <v>861.79484000000002</v>
      </c>
      <c r="H53" s="156">
        <f t="shared" si="18"/>
        <v>861.79484000000002</v>
      </c>
      <c r="I53" s="73">
        <f t="shared" si="1"/>
        <v>0</v>
      </c>
      <c r="J53" s="123">
        <f t="shared" si="3"/>
        <v>100</v>
      </c>
      <c r="K53" s="6"/>
      <c r="L53" s="74">
        <f t="shared" si="4"/>
        <v>783449.86</v>
      </c>
      <c r="M53" s="79">
        <f t="shared" si="5"/>
        <v>861794.84</v>
      </c>
      <c r="N53" s="74">
        <f t="shared" si="6"/>
        <v>861794.84</v>
      </c>
    </row>
    <row r="54" spans="1:14" x14ac:dyDescent="0.2">
      <c r="A54" s="150">
        <v>45</v>
      </c>
      <c r="B54" s="60" t="s">
        <v>158</v>
      </c>
      <c r="C54" s="155" t="s">
        <v>169</v>
      </c>
      <c r="D54" s="62" t="s">
        <v>74</v>
      </c>
      <c r="E54" s="62"/>
      <c r="F54" s="102">
        <f>F55</f>
        <v>783.44985999999994</v>
      </c>
      <c r="G54" s="102">
        <f t="shared" si="18"/>
        <v>861.79484000000002</v>
      </c>
      <c r="H54" s="102">
        <f t="shared" si="18"/>
        <v>861.79484000000002</v>
      </c>
      <c r="I54" s="73">
        <f t="shared" si="1"/>
        <v>0</v>
      </c>
      <c r="J54" s="123">
        <f t="shared" si="3"/>
        <v>100</v>
      </c>
      <c r="K54" s="6"/>
      <c r="L54" s="74">
        <f t="shared" si="4"/>
        <v>783449.86</v>
      </c>
      <c r="M54" s="79">
        <f t="shared" si="5"/>
        <v>861794.84</v>
      </c>
      <c r="N54" s="74">
        <f t="shared" si="6"/>
        <v>861794.84</v>
      </c>
    </row>
    <row r="55" spans="1:14" x14ac:dyDescent="0.2">
      <c r="A55" s="150">
        <v>46</v>
      </c>
      <c r="B55" s="103" t="s">
        <v>285</v>
      </c>
      <c r="C55" s="155" t="s">
        <v>169</v>
      </c>
      <c r="D55" s="62" t="s">
        <v>74</v>
      </c>
      <c r="E55" s="62" t="s">
        <v>24</v>
      </c>
      <c r="F55" s="102">
        <f>F56</f>
        <v>783.44985999999994</v>
      </c>
      <c r="G55" s="102">
        <f t="shared" si="18"/>
        <v>861.79484000000002</v>
      </c>
      <c r="H55" s="102">
        <f t="shared" si="18"/>
        <v>861.79484000000002</v>
      </c>
      <c r="I55" s="73">
        <f t="shared" si="1"/>
        <v>0</v>
      </c>
      <c r="J55" s="123">
        <f t="shared" si="3"/>
        <v>100</v>
      </c>
      <c r="L55" s="74">
        <f t="shared" si="4"/>
        <v>783449.86</v>
      </c>
      <c r="M55" s="79">
        <f t="shared" si="5"/>
        <v>861794.84</v>
      </c>
      <c r="N55" s="74">
        <f t="shared" si="6"/>
        <v>861794.84</v>
      </c>
    </row>
    <row r="56" spans="1:14" ht="24" customHeight="1" x14ac:dyDescent="0.2">
      <c r="A56" s="150">
        <v>47</v>
      </c>
      <c r="B56" s="60" t="s">
        <v>18</v>
      </c>
      <c r="C56" s="155" t="s">
        <v>169</v>
      </c>
      <c r="D56" s="62" t="s">
        <v>74</v>
      </c>
      <c r="E56" s="62" t="s">
        <v>26</v>
      </c>
      <c r="F56" s="102">
        <f>(601728+181721.86)/1000</f>
        <v>783.44985999999994</v>
      </c>
      <c r="G56" s="156">
        <f>661.9008+199.89404</f>
        <v>861.79484000000002</v>
      </c>
      <c r="H56" s="156">
        <f>661.9008+199.89404</f>
        <v>861.79484000000002</v>
      </c>
      <c r="I56" s="73">
        <f t="shared" si="1"/>
        <v>0</v>
      </c>
      <c r="J56" s="123">
        <f t="shared" si="3"/>
        <v>100</v>
      </c>
      <c r="L56" s="74">
        <f t="shared" si="4"/>
        <v>783449.86</v>
      </c>
      <c r="M56" s="79">
        <f t="shared" si="5"/>
        <v>861794.84</v>
      </c>
      <c r="N56" s="74">
        <f t="shared" si="6"/>
        <v>861794.84</v>
      </c>
    </row>
    <row r="57" spans="1:14" ht="24" customHeight="1" x14ac:dyDescent="0.2">
      <c r="A57" s="150">
        <v>48</v>
      </c>
      <c r="B57" s="60" t="s">
        <v>69</v>
      </c>
      <c r="C57" s="155" t="s">
        <v>453</v>
      </c>
      <c r="D57" s="62" t="s">
        <v>70</v>
      </c>
      <c r="E57" s="62"/>
      <c r="F57" s="102">
        <f>F58</f>
        <v>0</v>
      </c>
      <c r="G57" s="156">
        <f t="shared" si="18"/>
        <v>33.697839999999999</v>
      </c>
      <c r="H57" s="156">
        <f t="shared" si="18"/>
        <v>33.697839999999999</v>
      </c>
      <c r="I57" s="73">
        <f t="shared" si="1"/>
        <v>0</v>
      </c>
      <c r="J57" s="123">
        <f t="shared" si="3"/>
        <v>100</v>
      </c>
      <c r="L57" s="74">
        <f t="shared" si="4"/>
        <v>0</v>
      </c>
      <c r="M57" s="79">
        <f t="shared" si="5"/>
        <v>33697.839999999997</v>
      </c>
      <c r="N57" s="74">
        <f t="shared" si="6"/>
        <v>33697.839999999997</v>
      </c>
    </row>
    <row r="58" spans="1:14" ht="25.5" x14ac:dyDescent="0.2">
      <c r="A58" s="150">
        <v>49</v>
      </c>
      <c r="B58" s="60" t="s">
        <v>458</v>
      </c>
      <c r="C58" s="155" t="s">
        <v>453</v>
      </c>
      <c r="D58" s="62" t="s">
        <v>74</v>
      </c>
      <c r="E58" s="62"/>
      <c r="F58" s="102">
        <f>F59</f>
        <v>0</v>
      </c>
      <c r="G58" s="102">
        <f t="shared" ref="G58:H59" si="24">G59</f>
        <v>33.697839999999999</v>
      </c>
      <c r="H58" s="102">
        <f t="shared" si="24"/>
        <v>33.697839999999999</v>
      </c>
      <c r="I58" s="73">
        <f t="shared" si="1"/>
        <v>0</v>
      </c>
      <c r="J58" s="123">
        <f t="shared" si="3"/>
        <v>100</v>
      </c>
      <c r="L58" s="74">
        <f t="shared" si="4"/>
        <v>0</v>
      </c>
      <c r="M58" s="79">
        <f t="shared" si="5"/>
        <v>33697.839999999997</v>
      </c>
      <c r="N58" s="74">
        <f t="shared" si="6"/>
        <v>33697.839999999997</v>
      </c>
    </row>
    <row r="59" spans="1:14" x14ac:dyDescent="0.2">
      <c r="A59" s="150">
        <v>50</v>
      </c>
      <c r="B59" s="103" t="s">
        <v>285</v>
      </c>
      <c r="C59" s="155" t="s">
        <v>453</v>
      </c>
      <c r="D59" s="62" t="s">
        <v>74</v>
      </c>
      <c r="E59" s="62" t="s">
        <v>24</v>
      </c>
      <c r="F59" s="102">
        <f>F60</f>
        <v>0</v>
      </c>
      <c r="G59" s="102">
        <f t="shared" si="24"/>
        <v>33.697839999999999</v>
      </c>
      <c r="H59" s="102">
        <f t="shared" si="24"/>
        <v>33.697839999999999</v>
      </c>
      <c r="I59" s="73">
        <f t="shared" si="1"/>
        <v>0</v>
      </c>
      <c r="J59" s="123">
        <f t="shared" si="3"/>
        <v>100</v>
      </c>
      <c r="L59" s="74">
        <f t="shared" si="4"/>
        <v>0</v>
      </c>
      <c r="M59" s="79">
        <f t="shared" si="5"/>
        <v>33697.839999999997</v>
      </c>
      <c r="N59" s="74">
        <f t="shared" si="6"/>
        <v>33697.839999999997</v>
      </c>
    </row>
    <row r="60" spans="1:14" ht="24" customHeight="1" x14ac:dyDescent="0.2">
      <c r="A60" s="150">
        <v>51</v>
      </c>
      <c r="B60" s="60" t="s">
        <v>18</v>
      </c>
      <c r="C60" s="155" t="s">
        <v>453</v>
      </c>
      <c r="D60" s="62" t="s">
        <v>74</v>
      </c>
      <c r="E60" s="62" t="s">
        <v>26</v>
      </c>
      <c r="F60" s="102">
        <v>0</v>
      </c>
      <c r="G60" s="156">
        <f>25.8816+7.81624</f>
        <v>33.697839999999999</v>
      </c>
      <c r="H60" s="156">
        <f>25.8816+7.81624</f>
        <v>33.697839999999999</v>
      </c>
      <c r="I60" s="73">
        <f t="shared" si="1"/>
        <v>0</v>
      </c>
      <c r="J60" s="123">
        <f t="shared" si="3"/>
        <v>100</v>
      </c>
      <c r="L60" s="74">
        <f t="shared" si="4"/>
        <v>0</v>
      </c>
      <c r="M60" s="79">
        <f t="shared" si="5"/>
        <v>33697.839999999997</v>
      </c>
      <c r="N60" s="74">
        <f t="shared" si="6"/>
        <v>33697.839999999997</v>
      </c>
    </row>
    <row r="61" spans="1:14" x14ac:dyDescent="0.2">
      <c r="A61" s="150">
        <v>52</v>
      </c>
      <c r="B61" s="63" t="s">
        <v>145</v>
      </c>
      <c r="C61" s="155">
        <v>6300000000</v>
      </c>
      <c r="D61" s="57"/>
      <c r="E61" s="57"/>
      <c r="F61" s="67">
        <f>F62+F83+F87</f>
        <v>5208.0864600000004</v>
      </c>
      <c r="G61" s="67">
        <f t="shared" ref="G61:H61" si="25">G62+G83+G87</f>
        <v>6178.8868500000008</v>
      </c>
      <c r="H61" s="67">
        <f t="shared" si="25"/>
        <v>5867.9473500000004</v>
      </c>
      <c r="I61" s="73">
        <f t="shared" si="1"/>
        <v>310.93950000000041</v>
      </c>
      <c r="J61" s="123">
        <f t="shared" si="3"/>
        <v>94.967710081954309</v>
      </c>
      <c r="L61" s="74">
        <f t="shared" si="4"/>
        <v>5208086.4600000009</v>
      </c>
      <c r="M61" s="79">
        <f t="shared" si="5"/>
        <v>6178886.8500000006</v>
      </c>
      <c r="N61" s="74">
        <f t="shared" si="6"/>
        <v>5867947.3500000006</v>
      </c>
    </row>
    <row r="62" spans="1:14" ht="42.75" customHeight="1" x14ac:dyDescent="0.2">
      <c r="A62" s="150">
        <v>53</v>
      </c>
      <c r="B62" s="64" t="s">
        <v>159</v>
      </c>
      <c r="C62" s="155">
        <v>6300080210</v>
      </c>
      <c r="D62" s="57"/>
      <c r="E62" s="57"/>
      <c r="F62" s="67">
        <f>F63+F79+F67+F71+F75</f>
        <v>5114.4074600000004</v>
      </c>
      <c r="G62" s="67">
        <f t="shared" ref="G62:H62" si="26">G63+G79+G67+G71+G75</f>
        <v>6077.3058500000006</v>
      </c>
      <c r="H62" s="67">
        <f t="shared" si="26"/>
        <v>5770.4095600000001</v>
      </c>
      <c r="I62" s="73">
        <f t="shared" si="1"/>
        <v>306.89629000000059</v>
      </c>
      <c r="J62" s="123">
        <f t="shared" si="3"/>
        <v>94.950125967413655</v>
      </c>
      <c r="L62" s="74">
        <f t="shared" si="4"/>
        <v>5114407.46</v>
      </c>
      <c r="M62" s="79">
        <f t="shared" si="5"/>
        <v>6077305.8500000006</v>
      </c>
      <c r="N62" s="74">
        <f t="shared" si="6"/>
        <v>5770409.5600000005</v>
      </c>
    </row>
    <row r="63" spans="1:14" ht="38.25" x14ac:dyDescent="0.2">
      <c r="A63" s="150">
        <v>54</v>
      </c>
      <c r="B63" s="60" t="s">
        <v>69</v>
      </c>
      <c r="C63" s="155">
        <v>6300080210</v>
      </c>
      <c r="D63" s="57" t="s">
        <v>70</v>
      </c>
      <c r="E63" s="57"/>
      <c r="F63" s="67">
        <f>F64</f>
        <v>3891.9985899999997</v>
      </c>
      <c r="G63" s="67">
        <f t="shared" ref="G63:H77" si="27">G64</f>
        <v>3922.41561</v>
      </c>
      <c r="H63" s="67">
        <f>H64</f>
        <v>3901.04063</v>
      </c>
      <c r="I63" s="73">
        <f t="shared" si="1"/>
        <v>21.37498000000005</v>
      </c>
      <c r="J63" s="123">
        <f t="shared" si="3"/>
        <v>99.455055707368047</v>
      </c>
      <c r="L63" s="74">
        <f t="shared" si="4"/>
        <v>3891998.59</v>
      </c>
      <c r="M63" s="79">
        <f t="shared" si="5"/>
        <v>3922415.61</v>
      </c>
      <c r="N63" s="74">
        <f t="shared" si="6"/>
        <v>3901040.63</v>
      </c>
    </row>
    <row r="64" spans="1:14" x14ac:dyDescent="0.2">
      <c r="A64" s="150">
        <v>55</v>
      </c>
      <c r="B64" s="60" t="s">
        <v>158</v>
      </c>
      <c r="C64" s="155">
        <v>6300080210</v>
      </c>
      <c r="D64" s="57" t="s">
        <v>74</v>
      </c>
      <c r="E64" s="57"/>
      <c r="F64" s="67">
        <f>F65</f>
        <v>3891.9985899999997</v>
      </c>
      <c r="G64" s="67">
        <f t="shared" si="27"/>
        <v>3922.41561</v>
      </c>
      <c r="H64" s="67">
        <f t="shared" si="27"/>
        <v>3901.04063</v>
      </c>
      <c r="I64" s="73">
        <f t="shared" si="1"/>
        <v>21.37498000000005</v>
      </c>
      <c r="J64" s="123">
        <f t="shared" si="3"/>
        <v>99.455055707368047</v>
      </c>
      <c r="L64" s="74">
        <f t="shared" si="4"/>
        <v>3891998.59</v>
      </c>
      <c r="M64" s="79">
        <f t="shared" si="5"/>
        <v>3922415.61</v>
      </c>
      <c r="N64" s="74">
        <f t="shared" si="6"/>
        <v>3901040.63</v>
      </c>
    </row>
    <row r="65" spans="1:14" x14ac:dyDescent="0.2">
      <c r="A65" s="150">
        <v>56</v>
      </c>
      <c r="B65" s="103" t="s">
        <v>285</v>
      </c>
      <c r="C65" s="155">
        <v>6300080210</v>
      </c>
      <c r="D65" s="57" t="s">
        <v>74</v>
      </c>
      <c r="E65" s="57" t="s">
        <v>24</v>
      </c>
      <c r="F65" s="67">
        <f t="shared" ref="F65" si="28">F66</f>
        <v>3891.9985899999997</v>
      </c>
      <c r="G65" s="156">
        <f t="shared" si="27"/>
        <v>3922.41561</v>
      </c>
      <c r="H65" s="156">
        <f t="shared" si="27"/>
        <v>3901.04063</v>
      </c>
      <c r="I65" s="73">
        <f t="shared" si="1"/>
        <v>21.37498000000005</v>
      </c>
      <c r="J65" s="123">
        <f t="shared" si="3"/>
        <v>99.455055707368047</v>
      </c>
      <c r="L65" s="74">
        <f t="shared" si="4"/>
        <v>3891998.59</v>
      </c>
      <c r="M65" s="79">
        <f t="shared" si="5"/>
        <v>3922415.61</v>
      </c>
      <c r="N65" s="74">
        <f t="shared" si="6"/>
        <v>3901040.63</v>
      </c>
    </row>
    <row r="66" spans="1:14" ht="38.25" x14ac:dyDescent="0.2">
      <c r="A66" s="150">
        <v>57</v>
      </c>
      <c r="B66" s="60" t="s">
        <v>20</v>
      </c>
      <c r="C66" s="155">
        <v>6300080210</v>
      </c>
      <c r="D66" s="57" t="s">
        <v>74</v>
      </c>
      <c r="E66" s="57" t="s">
        <v>27</v>
      </c>
      <c r="F66" s="156">
        <f>(2989246.23+902752.36)/1000</f>
        <v>3891.9985899999997</v>
      </c>
      <c r="G66" s="156">
        <f>3012.60843+909.80718</f>
        <v>3922.41561</v>
      </c>
      <c r="H66" s="156">
        <f>3000.7922+900.24843</f>
        <v>3901.04063</v>
      </c>
      <c r="I66" s="73">
        <f t="shared" si="1"/>
        <v>21.37498000000005</v>
      </c>
      <c r="J66" s="123">
        <f t="shared" si="3"/>
        <v>99.455055707368047</v>
      </c>
      <c r="L66" s="74">
        <f t="shared" si="4"/>
        <v>3891998.59</v>
      </c>
      <c r="M66" s="79">
        <f t="shared" si="5"/>
        <v>3922415.61</v>
      </c>
      <c r="N66" s="74">
        <f t="shared" si="6"/>
        <v>3901040.63</v>
      </c>
    </row>
    <row r="67" spans="1:14" ht="38.25" x14ac:dyDescent="0.2">
      <c r="A67" s="150">
        <v>58</v>
      </c>
      <c r="B67" s="60" t="s">
        <v>277</v>
      </c>
      <c r="C67" s="155">
        <v>6300092350</v>
      </c>
      <c r="D67" s="57" t="s">
        <v>70</v>
      </c>
      <c r="E67" s="57"/>
      <c r="F67" s="67">
        <f>F68</f>
        <v>0</v>
      </c>
      <c r="G67" s="67">
        <f t="shared" si="27"/>
        <v>27.444000000000003</v>
      </c>
      <c r="H67" s="67">
        <f t="shared" si="27"/>
        <v>27.198</v>
      </c>
      <c r="I67" s="73">
        <f t="shared" si="1"/>
        <v>0.24600000000000222</v>
      </c>
      <c r="J67" s="123">
        <f t="shared" si="3"/>
        <v>99.103629208570183</v>
      </c>
      <c r="L67" s="74">
        <f t="shared" si="4"/>
        <v>0</v>
      </c>
      <c r="M67" s="79">
        <f t="shared" si="5"/>
        <v>27444.000000000004</v>
      </c>
      <c r="N67" s="74">
        <f t="shared" si="6"/>
        <v>27198</v>
      </c>
    </row>
    <row r="68" spans="1:14" ht="25.5" x14ac:dyDescent="0.2">
      <c r="A68" s="150">
        <v>59</v>
      </c>
      <c r="B68" s="60" t="s">
        <v>313</v>
      </c>
      <c r="C68" s="155">
        <v>6300092350</v>
      </c>
      <c r="D68" s="57" t="s">
        <v>74</v>
      </c>
      <c r="E68" s="57"/>
      <c r="F68" s="67">
        <f>F69</f>
        <v>0</v>
      </c>
      <c r="G68" s="67">
        <f t="shared" si="27"/>
        <v>27.444000000000003</v>
      </c>
      <c r="H68" s="67">
        <f t="shared" si="27"/>
        <v>27.198</v>
      </c>
      <c r="I68" s="73">
        <f t="shared" si="1"/>
        <v>0.24600000000000222</v>
      </c>
      <c r="J68" s="123">
        <f t="shared" si="3"/>
        <v>99.103629208570183</v>
      </c>
      <c r="L68" s="74">
        <f t="shared" si="4"/>
        <v>0</v>
      </c>
      <c r="M68" s="79">
        <f t="shared" si="5"/>
        <v>27444.000000000004</v>
      </c>
      <c r="N68" s="74">
        <f t="shared" si="6"/>
        <v>27198</v>
      </c>
    </row>
    <row r="69" spans="1:14" x14ac:dyDescent="0.2">
      <c r="A69" s="150">
        <v>60</v>
      </c>
      <c r="B69" s="103" t="s">
        <v>285</v>
      </c>
      <c r="C69" s="155">
        <v>6300092350</v>
      </c>
      <c r="D69" s="57" t="s">
        <v>74</v>
      </c>
      <c r="E69" s="57" t="s">
        <v>24</v>
      </c>
      <c r="F69" s="67">
        <f>F70</f>
        <v>0</v>
      </c>
      <c r="G69" s="67">
        <f t="shared" si="27"/>
        <v>27.444000000000003</v>
      </c>
      <c r="H69" s="67">
        <f t="shared" si="27"/>
        <v>27.198</v>
      </c>
      <c r="I69" s="73">
        <f t="shared" si="1"/>
        <v>0.24600000000000222</v>
      </c>
      <c r="J69" s="123">
        <f t="shared" si="3"/>
        <v>99.103629208570183</v>
      </c>
      <c r="L69" s="74">
        <f t="shared" si="4"/>
        <v>0</v>
      </c>
      <c r="M69" s="79">
        <f t="shared" si="5"/>
        <v>27444.000000000004</v>
      </c>
      <c r="N69" s="74">
        <f t="shared" si="6"/>
        <v>27198</v>
      </c>
    </row>
    <row r="70" spans="1:14" ht="38.25" x14ac:dyDescent="0.2">
      <c r="A70" s="150">
        <v>61</v>
      </c>
      <c r="B70" s="60" t="s">
        <v>20</v>
      </c>
      <c r="C70" s="155">
        <v>6300092350</v>
      </c>
      <c r="D70" s="57" t="s">
        <v>74</v>
      </c>
      <c r="E70" s="57" t="s">
        <v>27</v>
      </c>
      <c r="F70" s="156">
        <v>0</v>
      </c>
      <c r="G70" s="156">
        <f>21.079+6.365</f>
        <v>27.444000000000003</v>
      </c>
      <c r="H70" s="156">
        <f>20.883+6.315</f>
        <v>27.198</v>
      </c>
      <c r="I70" s="73">
        <f t="shared" si="1"/>
        <v>0.24600000000000222</v>
      </c>
      <c r="J70" s="123">
        <f t="shared" si="3"/>
        <v>99.103629208570183</v>
      </c>
      <c r="L70" s="74">
        <f t="shared" si="4"/>
        <v>0</v>
      </c>
      <c r="M70" s="79">
        <f t="shared" si="5"/>
        <v>27444.000000000004</v>
      </c>
      <c r="N70" s="74">
        <f t="shared" si="6"/>
        <v>27198</v>
      </c>
    </row>
    <row r="71" spans="1:14" ht="25.5" x14ac:dyDescent="0.2">
      <c r="A71" s="150">
        <v>62</v>
      </c>
      <c r="B71" s="60" t="s">
        <v>458</v>
      </c>
      <c r="C71" s="155">
        <v>6300093000</v>
      </c>
      <c r="D71" s="57" t="s">
        <v>70</v>
      </c>
      <c r="E71" s="57"/>
      <c r="F71" s="67">
        <f>F72</f>
        <v>0</v>
      </c>
      <c r="G71" s="67">
        <f t="shared" si="27"/>
        <v>140.57837000000001</v>
      </c>
      <c r="H71" s="67">
        <f t="shared" si="27"/>
        <v>101.68012999999999</v>
      </c>
      <c r="I71" s="73">
        <f t="shared" si="1"/>
        <v>38.898240000000015</v>
      </c>
      <c r="J71" s="123">
        <f t="shared" si="3"/>
        <v>72.32985415892928</v>
      </c>
      <c r="L71" s="74">
        <f t="shared" si="4"/>
        <v>0</v>
      </c>
      <c r="M71" s="79">
        <f t="shared" si="5"/>
        <v>140578.37</v>
      </c>
      <c r="N71" s="74">
        <f t="shared" si="6"/>
        <v>101680.12999999999</v>
      </c>
    </row>
    <row r="72" spans="1:14" ht="25.5" x14ac:dyDescent="0.2">
      <c r="A72" s="150">
        <v>63</v>
      </c>
      <c r="B72" s="60" t="s">
        <v>458</v>
      </c>
      <c r="C72" s="155">
        <v>6300093000</v>
      </c>
      <c r="D72" s="57" t="s">
        <v>74</v>
      </c>
      <c r="E72" s="57"/>
      <c r="F72" s="67">
        <f>F73</f>
        <v>0</v>
      </c>
      <c r="G72" s="67">
        <f t="shared" si="27"/>
        <v>140.57837000000001</v>
      </c>
      <c r="H72" s="67">
        <f t="shared" si="27"/>
        <v>101.68012999999999</v>
      </c>
      <c r="I72" s="73">
        <f t="shared" si="1"/>
        <v>38.898240000000015</v>
      </c>
      <c r="J72" s="123">
        <f t="shared" si="3"/>
        <v>72.32985415892928</v>
      </c>
      <c r="L72" s="74">
        <f t="shared" si="4"/>
        <v>0</v>
      </c>
      <c r="M72" s="79">
        <f t="shared" si="5"/>
        <v>140578.37</v>
      </c>
      <c r="N72" s="74">
        <f t="shared" si="6"/>
        <v>101680.12999999999</v>
      </c>
    </row>
    <row r="73" spans="1:14" x14ac:dyDescent="0.2">
      <c r="A73" s="150">
        <v>64</v>
      </c>
      <c r="B73" s="103" t="s">
        <v>285</v>
      </c>
      <c r="C73" s="155">
        <v>6300093000</v>
      </c>
      <c r="D73" s="57" t="s">
        <v>74</v>
      </c>
      <c r="E73" s="57" t="s">
        <v>24</v>
      </c>
      <c r="F73" s="67">
        <f>F74</f>
        <v>0</v>
      </c>
      <c r="G73" s="67">
        <f t="shared" si="27"/>
        <v>140.57837000000001</v>
      </c>
      <c r="H73" s="67">
        <f t="shared" si="27"/>
        <v>101.68012999999999</v>
      </c>
      <c r="I73" s="73">
        <f t="shared" si="1"/>
        <v>38.898240000000015</v>
      </c>
      <c r="J73" s="123">
        <f t="shared" si="3"/>
        <v>72.32985415892928</v>
      </c>
      <c r="L73" s="74">
        <f t="shared" si="4"/>
        <v>0</v>
      </c>
      <c r="M73" s="79">
        <f t="shared" si="5"/>
        <v>140578.37</v>
      </c>
      <c r="N73" s="74">
        <f t="shared" si="6"/>
        <v>101680.12999999999</v>
      </c>
    </row>
    <row r="74" spans="1:14" ht="38.25" x14ac:dyDescent="0.2">
      <c r="A74" s="150">
        <v>65</v>
      </c>
      <c r="B74" s="60" t="s">
        <v>20</v>
      </c>
      <c r="C74" s="155">
        <v>6300093000</v>
      </c>
      <c r="D74" s="57" t="s">
        <v>74</v>
      </c>
      <c r="E74" s="57" t="s">
        <v>27</v>
      </c>
      <c r="F74" s="156">
        <v>0</v>
      </c>
      <c r="G74" s="156">
        <f>107.9711+32.60727</f>
        <v>140.57837000000001</v>
      </c>
      <c r="H74" s="156">
        <f>78.09534+23.58479</f>
        <v>101.68012999999999</v>
      </c>
      <c r="I74" s="73">
        <f t="shared" si="1"/>
        <v>38.898240000000015</v>
      </c>
      <c r="J74" s="123">
        <f t="shared" si="3"/>
        <v>72.32985415892928</v>
      </c>
      <c r="L74" s="74">
        <f t="shared" si="4"/>
        <v>0</v>
      </c>
      <c r="M74" s="79">
        <f t="shared" si="5"/>
        <v>140578.37</v>
      </c>
      <c r="N74" s="74">
        <f t="shared" si="6"/>
        <v>101680.12999999999</v>
      </c>
    </row>
    <row r="75" spans="1:14" ht="25.5" x14ac:dyDescent="0.2">
      <c r="A75" s="150">
        <v>66</v>
      </c>
      <c r="B75" s="60" t="s">
        <v>496</v>
      </c>
      <c r="C75" s="155">
        <v>6300010340</v>
      </c>
      <c r="D75" s="57" t="s">
        <v>70</v>
      </c>
      <c r="E75" s="57"/>
      <c r="F75" s="67">
        <f>F76</f>
        <v>0</v>
      </c>
      <c r="G75" s="67">
        <f t="shared" si="27"/>
        <v>20.259999999999998</v>
      </c>
      <c r="H75" s="67">
        <f t="shared" si="27"/>
        <v>20.259999999999998</v>
      </c>
      <c r="I75" s="73">
        <f t="shared" ref="I75:I78" si="29">G75-H75</f>
        <v>0</v>
      </c>
      <c r="J75" s="123">
        <f t="shared" ref="J75:J78" si="30">H75/G75*100</f>
        <v>100</v>
      </c>
      <c r="L75" s="74">
        <f t="shared" si="4"/>
        <v>0</v>
      </c>
      <c r="M75" s="79">
        <f t="shared" si="5"/>
        <v>20259.999999999996</v>
      </c>
      <c r="N75" s="74">
        <f t="shared" si="6"/>
        <v>20259.999999999996</v>
      </c>
    </row>
    <row r="76" spans="1:14" ht="25.5" x14ac:dyDescent="0.2">
      <c r="A76" s="150">
        <v>67</v>
      </c>
      <c r="B76" s="60" t="s">
        <v>496</v>
      </c>
      <c r="C76" s="155">
        <v>6300010340</v>
      </c>
      <c r="D76" s="57" t="s">
        <v>74</v>
      </c>
      <c r="E76" s="57"/>
      <c r="F76" s="67">
        <f>F77</f>
        <v>0</v>
      </c>
      <c r="G76" s="67">
        <f t="shared" si="27"/>
        <v>20.259999999999998</v>
      </c>
      <c r="H76" s="67">
        <f t="shared" si="27"/>
        <v>20.259999999999998</v>
      </c>
      <c r="I76" s="73">
        <f t="shared" si="29"/>
        <v>0</v>
      </c>
      <c r="J76" s="123">
        <f t="shared" si="30"/>
        <v>100</v>
      </c>
      <c r="L76" s="74">
        <f t="shared" ref="L76:L139" si="31">F76*1000</f>
        <v>0</v>
      </c>
      <c r="M76" s="79">
        <f t="shared" ref="M76:M139" si="32">G76*1000</f>
        <v>20259.999999999996</v>
      </c>
      <c r="N76" s="74">
        <f t="shared" ref="N76:N139" si="33">H76*1000</f>
        <v>20259.999999999996</v>
      </c>
    </row>
    <row r="77" spans="1:14" x14ac:dyDescent="0.2">
      <c r="A77" s="150">
        <v>68</v>
      </c>
      <c r="B77" s="103" t="s">
        <v>285</v>
      </c>
      <c r="C77" s="155">
        <v>6300010340</v>
      </c>
      <c r="D77" s="57" t="s">
        <v>74</v>
      </c>
      <c r="E77" s="57" t="s">
        <v>24</v>
      </c>
      <c r="F77" s="67">
        <f>F78</f>
        <v>0</v>
      </c>
      <c r="G77" s="67">
        <f t="shared" si="27"/>
        <v>20.259999999999998</v>
      </c>
      <c r="H77" s="67">
        <f t="shared" si="27"/>
        <v>20.259999999999998</v>
      </c>
      <c r="I77" s="73">
        <f t="shared" si="29"/>
        <v>0</v>
      </c>
      <c r="J77" s="123">
        <f t="shared" si="30"/>
        <v>100</v>
      </c>
      <c r="L77" s="74">
        <f t="shared" si="31"/>
        <v>0</v>
      </c>
      <c r="M77" s="79">
        <f t="shared" si="32"/>
        <v>20259.999999999996</v>
      </c>
      <c r="N77" s="74">
        <f t="shared" si="33"/>
        <v>20259.999999999996</v>
      </c>
    </row>
    <row r="78" spans="1:14" ht="38.25" x14ac:dyDescent="0.2">
      <c r="A78" s="150">
        <v>69</v>
      </c>
      <c r="B78" s="60" t="s">
        <v>20</v>
      </c>
      <c r="C78" s="155">
        <v>6300010340</v>
      </c>
      <c r="D78" s="57" t="s">
        <v>74</v>
      </c>
      <c r="E78" s="57" t="s">
        <v>27</v>
      </c>
      <c r="F78" s="156">
        <v>0</v>
      </c>
      <c r="G78" s="156">
        <f>15.561+4.699</f>
        <v>20.259999999999998</v>
      </c>
      <c r="H78" s="156">
        <f>15.561+4.699</f>
        <v>20.259999999999998</v>
      </c>
      <c r="I78" s="73">
        <f t="shared" si="29"/>
        <v>0</v>
      </c>
      <c r="J78" s="123">
        <f t="shared" si="30"/>
        <v>100</v>
      </c>
      <c r="L78" s="74">
        <f t="shared" si="31"/>
        <v>0</v>
      </c>
      <c r="M78" s="79">
        <f t="shared" si="32"/>
        <v>20259.999999999996</v>
      </c>
      <c r="N78" s="74">
        <f t="shared" si="33"/>
        <v>20259.999999999996</v>
      </c>
    </row>
    <row r="79" spans="1:14" x14ac:dyDescent="0.2">
      <c r="A79" s="150">
        <v>70</v>
      </c>
      <c r="B79" s="158" t="s">
        <v>71</v>
      </c>
      <c r="C79" s="155">
        <v>6300080210</v>
      </c>
      <c r="D79" s="57" t="s">
        <v>72</v>
      </c>
      <c r="E79" s="57"/>
      <c r="F79" s="67">
        <f>F80</f>
        <v>1222.4088700000002</v>
      </c>
      <c r="G79" s="67">
        <f>G80</f>
        <v>1966.60787</v>
      </c>
      <c r="H79" s="67">
        <f>H80</f>
        <v>1720.2308</v>
      </c>
      <c r="I79" s="73">
        <f t="shared" ref="I79:I142" si="34">G79-H79</f>
        <v>246.37707</v>
      </c>
      <c r="J79" s="123">
        <f t="shared" si="3"/>
        <v>87.47197782748627</v>
      </c>
      <c r="L79" s="74">
        <f t="shared" si="31"/>
        <v>1222408.8700000001</v>
      </c>
      <c r="M79" s="79">
        <f t="shared" si="32"/>
        <v>1966607.87</v>
      </c>
      <c r="N79" s="74">
        <f t="shared" si="33"/>
        <v>1720230.8</v>
      </c>
    </row>
    <row r="80" spans="1:14" ht="25.5" x14ac:dyDescent="0.2">
      <c r="A80" s="150">
        <v>71</v>
      </c>
      <c r="B80" s="158" t="s">
        <v>157</v>
      </c>
      <c r="C80" s="155">
        <v>6300080210</v>
      </c>
      <c r="D80" s="57" t="s">
        <v>73</v>
      </c>
      <c r="E80" s="57"/>
      <c r="F80" s="67">
        <f>F81</f>
        <v>1222.4088700000002</v>
      </c>
      <c r="G80" s="67">
        <f t="shared" ref="G80:H81" si="35">G81</f>
        <v>1966.60787</v>
      </c>
      <c r="H80" s="67">
        <f t="shared" si="35"/>
        <v>1720.2308</v>
      </c>
      <c r="I80" s="73">
        <f t="shared" si="34"/>
        <v>246.37707</v>
      </c>
      <c r="J80" s="123">
        <f t="shared" ref="J80:J143" si="36">H80/G80*100</f>
        <v>87.47197782748627</v>
      </c>
      <c r="L80" s="74">
        <f t="shared" si="31"/>
        <v>1222408.8700000001</v>
      </c>
      <c r="M80" s="79">
        <f t="shared" si="32"/>
        <v>1966607.87</v>
      </c>
      <c r="N80" s="74">
        <f t="shared" si="33"/>
        <v>1720230.8</v>
      </c>
    </row>
    <row r="81" spans="1:14" x14ac:dyDescent="0.2">
      <c r="A81" s="150">
        <v>72</v>
      </c>
      <c r="B81" s="103" t="s">
        <v>285</v>
      </c>
      <c r="C81" s="155">
        <v>6300080210</v>
      </c>
      <c r="D81" s="57" t="s">
        <v>73</v>
      </c>
      <c r="E81" s="57" t="s">
        <v>24</v>
      </c>
      <c r="F81" s="67">
        <f>F82</f>
        <v>1222.4088700000002</v>
      </c>
      <c r="G81" s="67">
        <f t="shared" si="35"/>
        <v>1966.60787</v>
      </c>
      <c r="H81" s="67">
        <f t="shared" si="35"/>
        <v>1720.2308</v>
      </c>
      <c r="I81" s="73">
        <f t="shared" si="34"/>
        <v>246.37707</v>
      </c>
      <c r="J81" s="123">
        <f t="shared" si="36"/>
        <v>87.47197782748627</v>
      </c>
      <c r="L81" s="74">
        <f t="shared" si="31"/>
        <v>1222408.8700000001</v>
      </c>
      <c r="M81" s="79">
        <f t="shared" si="32"/>
        <v>1966607.87</v>
      </c>
      <c r="N81" s="74">
        <f t="shared" si="33"/>
        <v>1720230.8</v>
      </c>
    </row>
    <row r="82" spans="1:14" ht="39.75" customHeight="1" x14ac:dyDescent="0.2">
      <c r="A82" s="150">
        <v>73</v>
      </c>
      <c r="B82" s="60" t="s">
        <v>20</v>
      </c>
      <c r="C82" s="155">
        <v>6300080210</v>
      </c>
      <c r="D82" s="57" t="s">
        <v>73</v>
      </c>
      <c r="E82" s="57" t="s">
        <v>27</v>
      </c>
      <c r="F82" s="156">
        <f>(51020+31776.62+900000+35500+17700+6200+180212.25)/1000</f>
        <v>1222.4088700000002</v>
      </c>
      <c r="G82" s="156">
        <f>976.60787+990</f>
        <v>1966.60787</v>
      </c>
      <c r="H82" s="156">
        <f>855.29786+864.93294</f>
        <v>1720.2308</v>
      </c>
      <c r="I82" s="73">
        <f t="shared" si="34"/>
        <v>246.37707</v>
      </c>
      <c r="J82" s="123">
        <f t="shared" si="36"/>
        <v>87.47197782748627</v>
      </c>
      <c r="L82" s="74">
        <f t="shared" si="31"/>
        <v>1222408.8700000001</v>
      </c>
      <c r="M82" s="79">
        <f t="shared" si="32"/>
        <v>1966607.87</v>
      </c>
      <c r="N82" s="74">
        <f t="shared" si="33"/>
        <v>1720230.8</v>
      </c>
    </row>
    <row r="83" spans="1:14" x14ac:dyDescent="0.2">
      <c r="A83" s="150">
        <v>74</v>
      </c>
      <c r="B83" s="154" t="s">
        <v>163</v>
      </c>
      <c r="C83" s="155">
        <v>6300080620</v>
      </c>
      <c r="D83" s="57" t="s">
        <v>162</v>
      </c>
      <c r="E83" s="57"/>
      <c r="F83" s="67">
        <f>F84</f>
        <v>90.736999999999995</v>
      </c>
      <c r="G83" s="67">
        <f t="shared" ref="G83:H85" si="37">G84</f>
        <v>94.638999999999996</v>
      </c>
      <c r="H83" s="67">
        <f t="shared" si="37"/>
        <v>94.488789999999995</v>
      </c>
      <c r="I83" s="73">
        <f t="shared" si="34"/>
        <v>0.15021000000000129</v>
      </c>
      <c r="J83" s="123">
        <f t="shared" si="36"/>
        <v>99.841281078625087</v>
      </c>
      <c r="L83" s="74">
        <f t="shared" si="31"/>
        <v>90737</v>
      </c>
      <c r="M83" s="79">
        <f t="shared" si="32"/>
        <v>94639</v>
      </c>
      <c r="N83" s="74">
        <f t="shared" si="33"/>
        <v>94488.79</v>
      </c>
    </row>
    <row r="84" spans="1:14" x14ac:dyDescent="0.2">
      <c r="A84" s="150">
        <v>75</v>
      </c>
      <c r="B84" s="154" t="s">
        <v>56</v>
      </c>
      <c r="C84" s="155">
        <v>6300080620</v>
      </c>
      <c r="D84" s="57" t="s">
        <v>80</v>
      </c>
      <c r="E84" s="57"/>
      <c r="F84" s="67">
        <f>F85</f>
        <v>90.736999999999995</v>
      </c>
      <c r="G84" s="67">
        <f t="shared" si="37"/>
        <v>94.638999999999996</v>
      </c>
      <c r="H84" s="67">
        <f t="shared" si="37"/>
        <v>94.488789999999995</v>
      </c>
      <c r="I84" s="73">
        <f t="shared" si="34"/>
        <v>0.15021000000000129</v>
      </c>
      <c r="J84" s="123">
        <f t="shared" si="36"/>
        <v>99.841281078625087</v>
      </c>
      <c r="L84" s="74">
        <f t="shared" si="31"/>
        <v>90737</v>
      </c>
      <c r="M84" s="79">
        <f t="shared" si="32"/>
        <v>94639</v>
      </c>
      <c r="N84" s="74">
        <f t="shared" si="33"/>
        <v>94488.79</v>
      </c>
    </row>
    <row r="85" spans="1:14" x14ac:dyDescent="0.2">
      <c r="A85" s="150">
        <v>76</v>
      </c>
      <c r="B85" s="103" t="s">
        <v>285</v>
      </c>
      <c r="C85" s="155">
        <v>6300080620</v>
      </c>
      <c r="D85" s="57" t="s">
        <v>80</v>
      </c>
      <c r="E85" s="57" t="s">
        <v>24</v>
      </c>
      <c r="F85" s="67">
        <f>F86</f>
        <v>90.736999999999995</v>
      </c>
      <c r="G85" s="67">
        <f t="shared" si="37"/>
        <v>94.638999999999996</v>
      </c>
      <c r="H85" s="67">
        <f t="shared" si="37"/>
        <v>94.488789999999995</v>
      </c>
      <c r="I85" s="73">
        <f t="shared" si="34"/>
        <v>0.15021000000000129</v>
      </c>
      <c r="J85" s="123">
        <f t="shared" si="36"/>
        <v>99.841281078625087</v>
      </c>
      <c r="L85" s="74">
        <f t="shared" si="31"/>
        <v>90737</v>
      </c>
      <c r="M85" s="79">
        <f t="shared" si="32"/>
        <v>94639</v>
      </c>
      <c r="N85" s="74">
        <f t="shared" si="33"/>
        <v>94488.79</v>
      </c>
    </row>
    <row r="86" spans="1:14" ht="38.25" x14ac:dyDescent="0.2">
      <c r="A86" s="150">
        <v>77</v>
      </c>
      <c r="B86" s="60" t="s">
        <v>20</v>
      </c>
      <c r="C86" s="155">
        <v>6300080620</v>
      </c>
      <c r="D86" s="57" t="s">
        <v>80</v>
      </c>
      <c r="E86" s="57" t="s">
        <v>27</v>
      </c>
      <c r="F86" s="156">
        <v>90.736999999999995</v>
      </c>
      <c r="G86" s="156">
        <v>94.638999999999996</v>
      </c>
      <c r="H86" s="156">
        <v>94.488789999999995</v>
      </c>
      <c r="I86" s="73">
        <f t="shared" si="34"/>
        <v>0.15021000000000129</v>
      </c>
      <c r="J86" s="123">
        <f t="shared" si="36"/>
        <v>99.841281078625087</v>
      </c>
      <c r="L86" s="74">
        <f t="shared" si="31"/>
        <v>90737</v>
      </c>
      <c r="M86" s="79">
        <f t="shared" si="32"/>
        <v>94639</v>
      </c>
      <c r="N86" s="74">
        <f t="shared" si="33"/>
        <v>94488.79</v>
      </c>
    </row>
    <row r="87" spans="1:14" x14ac:dyDescent="0.2">
      <c r="A87" s="150">
        <v>78</v>
      </c>
      <c r="B87" s="154" t="s">
        <v>222</v>
      </c>
      <c r="C87" s="155">
        <v>6300080620</v>
      </c>
      <c r="D87" s="57" t="s">
        <v>227</v>
      </c>
      <c r="E87" s="57"/>
      <c r="F87" s="67">
        <f>F88</f>
        <v>2.9420000000000002</v>
      </c>
      <c r="G87" s="156">
        <f t="shared" ref="G87:H89" si="38">G88</f>
        <v>6.9420000000000002</v>
      </c>
      <c r="H87" s="156">
        <f t="shared" si="38"/>
        <v>3.0489999999999999</v>
      </c>
      <c r="I87" s="73">
        <f t="shared" si="34"/>
        <v>3.8930000000000002</v>
      </c>
      <c r="J87" s="123">
        <f t="shared" si="36"/>
        <v>43.921060213195041</v>
      </c>
      <c r="L87" s="74">
        <f t="shared" si="31"/>
        <v>2942</v>
      </c>
      <c r="M87" s="79">
        <f t="shared" si="32"/>
        <v>6942</v>
      </c>
      <c r="N87" s="74">
        <f t="shared" si="33"/>
        <v>3049</v>
      </c>
    </row>
    <row r="88" spans="1:14" x14ac:dyDescent="0.2">
      <c r="A88" s="150">
        <v>79</v>
      </c>
      <c r="B88" s="154" t="s">
        <v>165</v>
      </c>
      <c r="C88" s="155">
        <v>6300080620</v>
      </c>
      <c r="D88" s="57" t="s">
        <v>164</v>
      </c>
      <c r="E88" s="57"/>
      <c r="F88" s="67">
        <f>F89</f>
        <v>2.9420000000000002</v>
      </c>
      <c r="G88" s="156">
        <f t="shared" si="38"/>
        <v>6.9420000000000002</v>
      </c>
      <c r="H88" s="156">
        <f t="shared" si="38"/>
        <v>3.0489999999999999</v>
      </c>
      <c r="I88" s="73">
        <f t="shared" si="34"/>
        <v>3.8930000000000002</v>
      </c>
      <c r="J88" s="123">
        <f t="shared" si="36"/>
        <v>43.921060213195041</v>
      </c>
      <c r="L88" s="74">
        <f t="shared" si="31"/>
        <v>2942</v>
      </c>
      <c r="M88" s="79">
        <f t="shared" si="32"/>
        <v>6942</v>
      </c>
      <c r="N88" s="74">
        <f t="shared" si="33"/>
        <v>3049</v>
      </c>
    </row>
    <row r="89" spans="1:14" x14ac:dyDescent="0.2">
      <c r="A89" s="150">
        <v>80</v>
      </c>
      <c r="B89" s="103" t="s">
        <v>285</v>
      </c>
      <c r="C89" s="155">
        <v>6300080620</v>
      </c>
      <c r="D89" s="57" t="s">
        <v>164</v>
      </c>
      <c r="E89" s="57" t="s">
        <v>24</v>
      </c>
      <c r="F89" s="67">
        <f>F90</f>
        <v>2.9420000000000002</v>
      </c>
      <c r="G89" s="67">
        <f t="shared" si="38"/>
        <v>6.9420000000000002</v>
      </c>
      <c r="H89" s="67">
        <f t="shared" si="38"/>
        <v>3.0489999999999999</v>
      </c>
      <c r="I89" s="73">
        <f t="shared" si="34"/>
        <v>3.8930000000000002</v>
      </c>
      <c r="J89" s="123">
        <f t="shared" si="36"/>
        <v>43.921060213195041</v>
      </c>
      <c r="L89" s="74">
        <f t="shared" si="31"/>
        <v>2942</v>
      </c>
      <c r="M89" s="79">
        <f t="shared" si="32"/>
        <v>6942</v>
      </c>
      <c r="N89" s="74">
        <f t="shared" si="33"/>
        <v>3049</v>
      </c>
    </row>
    <row r="90" spans="1:14" ht="38.25" x14ac:dyDescent="0.2">
      <c r="A90" s="150">
        <v>81</v>
      </c>
      <c r="B90" s="60" t="s">
        <v>20</v>
      </c>
      <c r="C90" s="155">
        <v>6300080620</v>
      </c>
      <c r="D90" s="57" t="s">
        <v>164</v>
      </c>
      <c r="E90" s="57" t="s">
        <v>27</v>
      </c>
      <c r="F90" s="156">
        <f>2.942</f>
        <v>2.9420000000000002</v>
      </c>
      <c r="G90" s="156">
        <f>3.942+3</f>
        <v>6.9420000000000002</v>
      </c>
      <c r="H90" s="156">
        <f>2.749+0.3</f>
        <v>3.0489999999999999</v>
      </c>
      <c r="I90" s="73">
        <f t="shared" si="34"/>
        <v>3.8930000000000002</v>
      </c>
      <c r="J90" s="123">
        <f t="shared" si="36"/>
        <v>43.921060213195041</v>
      </c>
      <c r="L90" s="74">
        <f t="shared" si="31"/>
        <v>2942</v>
      </c>
      <c r="M90" s="79">
        <f t="shared" si="32"/>
        <v>6942</v>
      </c>
      <c r="N90" s="74">
        <f t="shared" si="33"/>
        <v>3049</v>
      </c>
    </row>
    <row r="91" spans="1:14" x14ac:dyDescent="0.2">
      <c r="A91" s="150">
        <v>82</v>
      </c>
      <c r="B91" s="65" t="s">
        <v>145</v>
      </c>
      <c r="C91" s="18">
        <v>6400000000</v>
      </c>
      <c r="D91" s="57"/>
      <c r="E91" s="57"/>
      <c r="F91" s="156">
        <f>F92</f>
        <v>10</v>
      </c>
      <c r="G91" s="156">
        <f t="shared" ref="G91:H94" si="39">G92</f>
        <v>10</v>
      </c>
      <c r="H91" s="156">
        <f t="shared" si="39"/>
        <v>0</v>
      </c>
      <c r="I91" s="73">
        <f t="shared" si="34"/>
        <v>10</v>
      </c>
      <c r="J91" s="123">
        <f t="shared" si="36"/>
        <v>0</v>
      </c>
      <c r="L91" s="74">
        <f t="shared" si="31"/>
        <v>10000</v>
      </c>
      <c r="M91" s="79">
        <f t="shared" si="32"/>
        <v>10000</v>
      </c>
      <c r="N91" s="74">
        <f t="shared" si="33"/>
        <v>0</v>
      </c>
    </row>
    <row r="92" spans="1:14" ht="25.5" x14ac:dyDescent="0.2">
      <c r="A92" s="150">
        <v>83</v>
      </c>
      <c r="B92" s="104" t="s">
        <v>314</v>
      </c>
      <c r="C92" s="18">
        <v>6400080000</v>
      </c>
      <c r="D92" s="105" t="s">
        <v>155</v>
      </c>
      <c r="E92" s="105" t="s">
        <v>155</v>
      </c>
      <c r="F92" s="156">
        <f t="shared" ref="F92:H95" si="40">F93</f>
        <v>10</v>
      </c>
      <c r="G92" s="156">
        <f t="shared" si="39"/>
        <v>10</v>
      </c>
      <c r="H92" s="156">
        <f t="shared" si="39"/>
        <v>0</v>
      </c>
      <c r="I92" s="73">
        <f t="shared" si="34"/>
        <v>10</v>
      </c>
      <c r="J92" s="123">
        <f t="shared" si="36"/>
        <v>0</v>
      </c>
      <c r="L92" s="74">
        <f t="shared" si="31"/>
        <v>10000</v>
      </c>
      <c r="M92" s="79">
        <f t="shared" si="32"/>
        <v>10000</v>
      </c>
      <c r="N92" s="74">
        <f t="shared" si="33"/>
        <v>0</v>
      </c>
    </row>
    <row r="93" spans="1:14" x14ac:dyDescent="0.2">
      <c r="A93" s="150">
        <v>84</v>
      </c>
      <c r="B93" s="103" t="s">
        <v>222</v>
      </c>
      <c r="C93" s="18">
        <v>6400080210</v>
      </c>
      <c r="D93" s="105" t="s">
        <v>227</v>
      </c>
      <c r="E93" s="105" t="s">
        <v>155</v>
      </c>
      <c r="F93" s="156">
        <f>F94</f>
        <v>10</v>
      </c>
      <c r="G93" s="156">
        <f t="shared" si="39"/>
        <v>10</v>
      </c>
      <c r="H93" s="156">
        <f t="shared" si="39"/>
        <v>0</v>
      </c>
      <c r="I93" s="73">
        <f t="shared" si="34"/>
        <v>10</v>
      </c>
      <c r="J93" s="123">
        <f t="shared" si="36"/>
        <v>0</v>
      </c>
      <c r="L93" s="74">
        <f t="shared" si="31"/>
        <v>10000</v>
      </c>
      <c r="M93" s="79">
        <f t="shared" si="32"/>
        <v>10000</v>
      </c>
      <c r="N93" s="74">
        <f t="shared" si="33"/>
        <v>0</v>
      </c>
    </row>
    <row r="94" spans="1:14" x14ac:dyDescent="0.2">
      <c r="A94" s="150">
        <v>85</v>
      </c>
      <c r="B94" s="103" t="s">
        <v>223</v>
      </c>
      <c r="C94" s="18">
        <v>6400080210</v>
      </c>
      <c r="D94" s="105" t="s">
        <v>228</v>
      </c>
      <c r="E94" s="105" t="s">
        <v>155</v>
      </c>
      <c r="F94" s="156">
        <f>F95</f>
        <v>10</v>
      </c>
      <c r="G94" s="156">
        <f t="shared" si="39"/>
        <v>10</v>
      </c>
      <c r="H94" s="156">
        <f t="shared" si="39"/>
        <v>0</v>
      </c>
      <c r="I94" s="73">
        <f t="shared" si="34"/>
        <v>10</v>
      </c>
      <c r="J94" s="123">
        <f t="shared" si="36"/>
        <v>0</v>
      </c>
      <c r="L94" s="74">
        <f t="shared" si="31"/>
        <v>10000</v>
      </c>
      <c r="M94" s="79">
        <f t="shared" si="32"/>
        <v>10000</v>
      </c>
      <c r="N94" s="74">
        <f t="shared" si="33"/>
        <v>0</v>
      </c>
    </row>
    <row r="95" spans="1:14" x14ac:dyDescent="0.2">
      <c r="A95" s="150">
        <v>86</v>
      </c>
      <c r="B95" s="103" t="s">
        <v>285</v>
      </c>
      <c r="C95" s="18">
        <v>6400080210</v>
      </c>
      <c r="D95" s="105" t="s">
        <v>228</v>
      </c>
      <c r="E95" s="105" t="s">
        <v>24</v>
      </c>
      <c r="F95" s="156">
        <f t="shared" si="40"/>
        <v>10</v>
      </c>
      <c r="G95" s="156">
        <f t="shared" si="40"/>
        <v>10</v>
      </c>
      <c r="H95" s="156">
        <f t="shared" si="40"/>
        <v>0</v>
      </c>
      <c r="I95" s="73">
        <f t="shared" si="34"/>
        <v>10</v>
      </c>
      <c r="J95" s="123">
        <f t="shared" si="36"/>
        <v>0</v>
      </c>
      <c r="L95" s="74">
        <f t="shared" si="31"/>
        <v>10000</v>
      </c>
      <c r="M95" s="79">
        <f t="shared" si="32"/>
        <v>10000</v>
      </c>
      <c r="N95" s="74">
        <f t="shared" si="33"/>
        <v>0</v>
      </c>
    </row>
    <row r="96" spans="1:14" x14ac:dyDescent="0.2">
      <c r="A96" s="150">
        <v>87</v>
      </c>
      <c r="B96" s="103" t="s">
        <v>218</v>
      </c>
      <c r="C96" s="18">
        <v>6400080210</v>
      </c>
      <c r="D96" s="105" t="s">
        <v>228</v>
      </c>
      <c r="E96" s="105" t="s">
        <v>219</v>
      </c>
      <c r="F96" s="156">
        <v>10</v>
      </c>
      <c r="G96" s="156">
        <v>10</v>
      </c>
      <c r="H96" s="156">
        <v>0</v>
      </c>
      <c r="I96" s="73">
        <f t="shared" si="34"/>
        <v>10</v>
      </c>
      <c r="J96" s="123">
        <f t="shared" si="36"/>
        <v>0</v>
      </c>
      <c r="L96" s="74">
        <f t="shared" si="31"/>
        <v>10000</v>
      </c>
      <c r="M96" s="79">
        <f t="shared" si="32"/>
        <v>10000</v>
      </c>
      <c r="N96" s="74">
        <f t="shared" si="33"/>
        <v>0</v>
      </c>
    </row>
    <row r="97" spans="1:14" x14ac:dyDescent="0.2">
      <c r="A97" s="150">
        <v>88</v>
      </c>
      <c r="B97" s="65" t="s">
        <v>145</v>
      </c>
      <c r="C97" s="18">
        <v>6400000000</v>
      </c>
      <c r="D97" s="40"/>
      <c r="E97" s="40"/>
      <c r="F97" s="67">
        <f>F111+F98+F116</f>
        <v>1642.5888500000001</v>
      </c>
      <c r="G97" s="67">
        <f t="shared" ref="G97:H97" si="41">G111+G98+G116</f>
        <v>1791.99423</v>
      </c>
      <c r="H97" s="67">
        <f t="shared" si="41"/>
        <v>1777.3095499999999</v>
      </c>
      <c r="I97" s="73">
        <f t="shared" si="34"/>
        <v>14.684680000000071</v>
      </c>
      <c r="J97" s="123">
        <f t="shared" si="36"/>
        <v>99.180539772162106</v>
      </c>
      <c r="L97" s="74">
        <f t="shared" si="31"/>
        <v>1642588.85</v>
      </c>
      <c r="M97" s="79">
        <f t="shared" si="32"/>
        <v>1791994.23</v>
      </c>
      <c r="N97" s="74">
        <f t="shared" si="33"/>
        <v>1777309.55</v>
      </c>
    </row>
    <row r="98" spans="1:14" x14ac:dyDescent="0.2">
      <c r="A98" s="150">
        <v>89</v>
      </c>
      <c r="B98" s="64" t="s">
        <v>224</v>
      </c>
      <c r="C98" s="157" t="s">
        <v>229</v>
      </c>
      <c r="D98" s="57"/>
      <c r="E98" s="57"/>
      <c r="F98" s="67">
        <f>F99+F107+F103</f>
        <v>1628.66785</v>
      </c>
      <c r="G98" s="67">
        <f t="shared" ref="G98:H98" si="42">G99+G107+G103</f>
        <v>1777.6272300000001</v>
      </c>
      <c r="H98" s="67">
        <f t="shared" si="42"/>
        <v>1762.94255</v>
      </c>
      <c r="I98" s="73">
        <f t="shared" si="34"/>
        <v>14.684680000000071</v>
      </c>
      <c r="J98" s="123">
        <f t="shared" si="36"/>
        <v>99.173916794692659</v>
      </c>
      <c r="L98" s="74">
        <f t="shared" si="31"/>
        <v>1628667.85</v>
      </c>
      <c r="M98" s="79">
        <f t="shared" si="32"/>
        <v>1777627.23</v>
      </c>
      <c r="N98" s="74">
        <f t="shared" si="33"/>
        <v>1762942.55</v>
      </c>
    </row>
    <row r="99" spans="1:14" ht="38.25" x14ac:dyDescent="0.2">
      <c r="A99" s="150">
        <v>90</v>
      </c>
      <c r="B99" s="60" t="s">
        <v>69</v>
      </c>
      <c r="C99" s="157" t="s">
        <v>225</v>
      </c>
      <c r="D99" s="57" t="s">
        <v>70</v>
      </c>
      <c r="E99" s="57"/>
      <c r="F99" s="67">
        <f>F100</f>
        <v>1398.74485</v>
      </c>
      <c r="G99" s="67">
        <f t="shared" ref="F99:H105" si="43">G100</f>
        <v>1482.38285</v>
      </c>
      <c r="H99" s="67">
        <f t="shared" si="43"/>
        <v>1481.39165</v>
      </c>
      <c r="I99" s="73">
        <f t="shared" si="34"/>
        <v>0.99119999999993524</v>
      </c>
      <c r="J99" s="123">
        <f t="shared" si="36"/>
        <v>99.93313468244726</v>
      </c>
      <c r="L99" s="74">
        <f t="shared" si="31"/>
        <v>1398744.85</v>
      </c>
      <c r="M99" s="79">
        <f t="shared" si="32"/>
        <v>1482382.8499999999</v>
      </c>
      <c r="N99" s="74">
        <f t="shared" si="33"/>
        <v>1481391.6500000001</v>
      </c>
    </row>
    <row r="100" spans="1:14" x14ac:dyDescent="0.2">
      <c r="A100" s="150">
        <v>91</v>
      </c>
      <c r="B100" s="60" t="s">
        <v>158</v>
      </c>
      <c r="C100" s="157" t="s">
        <v>225</v>
      </c>
      <c r="D100" s="57" t="s">
        <v>74</v>
      </c>
      <c r="E100" s="57"/>
      <c r="F100" s="67">
        <f t="shared" si="43"/>
        <v>1398.74485</v>
      </c>
      <c r="G100" s="156">
        <f>G101</f>
        <v>1482.38285</v>
      </c>
      <c r="H100" s="156">
        <f t="shared" si="43"/>
        <v>1481.39165</v>
      </c>
      <c r="I100" s="73">
        <f t="shared" si="34"/>
        <v>0.99119999999993524</v>
      </c>
      <c r="J100" s="123">
        <f t="shared" si="36"/>
        <v>99.93313468244726</v>
      </c>
      <c r="L100" s="74">
        <f t="shared" si="31"/>
        <v>1398744.85</v>
      </c>
      <c r="M100" s="79">
        <f t="shared" si="32"/>
        <v>1482382.8499999999</v>
      </c>
      <c r="N100" s="74">
        <f t="shared" si="33"/>
        <v>1481391.6500000001</v>
      </c>
    </row>
    <row r="101" spans="1:14" x14ac:dyDescent="0.2">
      <c r="A101" s="150">
        <v>92</v>
      </c>
      <c r="B101" s="103" t="s">
        <v>285</v>
      </c>
      <c r="C101" s="157" t="s">
        <v>225</v>
      </c>
      <c r="D101" s="57" t="s">
        <v>74</v>
      </c>
      <c r="E101" s="57" t="s">
        <v>24</v>
      </c>
      <c r="F101" s="67">
        <f t="shared" si="43"/>
        <v>1398.74485</v>
      </c>
      <c r="G101" s="67">
        <f t="shared" si="43"/>
        <v>1482.38285</v>
      </c>
      <c r="H101" s="67">
        <f>H102</f>
        <v>1481.39165</v>
      </c>
      <c r="I101" s="73">
        <f t="shared" si="34"/>
        <v>0.99119999999993524</v>
      </c>
      <c r="J101" s="123">
        <f t="shared" si="36"/>
        <v>99.93313468244726</v>
      </c>
      <c r="L101" s="74">
        <f t="shared" si="31"/>
        <v>1398744.85</v>
      </c>
      <c r="M101" s="79">
        <f t="shared" si="32"/>
        <v>1482382.8499999999</v>
      </c>
      <c r="N101" s="74">
        <f t="shared" si="33"/>
        <v>1481391.6500000001</v>
      </c>
    </row>
    <row r="102" spans="1:14" x14ac:dyDescent="0.2">
      <c r="A102" s="150">
        <v>93</v>
      </c>
      <c r="B102" s="58" t="s">
        <v>144</v>
      </c>
      <c r="C102" s="157" t="s">
        <v>225</v>
      </c>
      <c r="D102" s="57" t="s">
        <v>74</v>
      </c>
      <c r="E102" s="57" t="s">
        <v>57</v>
      </c>
      <c r="F102" s="156">
        <f>(1074304.8+324440.05)/1000</f>
        <v>1398.74485</v>
      </c>
      <c r="G102" s="156">
        <f>1138.5428+343.84005</f>
        <v>1482.38285</v>
      </c>
      <c r="H102" s="156">
        <f>1138.16307+343.22858</f>
        <v>1481.39165</v>
      </c>
      <c r="I102" s="73">
        <f t="shared" si="34"/>
        <v>0.99119999999993524</v>
      </c>
      <c r="J102" s="123">
        <f t="shared" si="36"/>
        <v>99.93313468244726</v>
      </c>
      <c r="L102" s="74">
        <f t="shared" si="31"/>
        <v>1398744.85</v>
      </c>
      <c r="M102" s="79">
        <f t="shared" si="32"/>
        <v>1482382.8499999999</v>
      </c>
      <c r="N102" s="74">
        <f t="shared" si="33"/>
        <v>1481391.6500000001</v>
      </c>
    </row>
    <row r="103" spans="1:14" ht="38.25" x14ac:dyDescent="0.2">
      <c r="A103" s="150">
        <v>94</v>
      </c>
      <c r="B103" s="60" t="s">
        <v>69</v>
      </c>
      <c r="C103" s="157" t="s">
        <v>455</v>
      </c>
      <c r="D103" s="57" t="s">
        <v>70</v>
      </c>
      <c r="E103" s="57"/>
      <c r="F103" s="67">
        <f>F104</f>
        <v>0</v>
      </c>
      <c r="G103" s="67">
        <f t="shared" si="43"/>
        <v>46.796379999999999</v>
      </c>
      <c r="H103" s="67">
        <f t="shared" si="43"/>
        <v>46.796379999999999</v>
      </c>
      <c r="I103" s="73">
        <f t="shared" si="34"/>
        <v>0</v>
      </c>
      <c r="J103" s="123">
        <f t="shared" si="36"/>
        <v>100</v>
      </c>
      <c r="L103" s="74">
        <f t="shared" si="31"/>
        <v>0</v>
      </c>
      <c r="M103" s="79">
        <f t="shared" si="32"/>
        <v>46796.38</v>
      </c>
      <c r="N103" s="74">
        <f t="shared" si="33"/>
        <v>46796.38</v>
      </c>
    </row>
    <row r="104" spans="1:14" ht="25.5" x14ac:dyDescent="0.2">
      <c r="A104" s="150">
        <v>95</v>
      </c>
      <c r="B104" s="60" t="s">
        <v>458</v>
      </c>
      <c r="C104" s="157" t="s">
        <v>455</v>
      </c>
      <c r="D104" s="57" t="s">
        <v>74</v>
      </c>
      <c r="E104" s="57"/>
      <c r="F104" s="67">
        <f>F105</f>
        <v>0</v>
      </c>
      <c r="G104" s="156">
        <f>G105</f>
        <v>46.796379999999999</v>
      </c>
      <c r="H104" s="156">
        <f t="shared" si="43"/>
        <v>46.796379999999999</v>
      </c>
      <c r="I104" s="73">
        <f t="shared" si="34"/>
        <v>0</v>
      </c>
      <c r="J104" s="123">
        <f t="shared" si="36"/>
        <v>100</v>
      </c>
      <c r="L104" s="74">
        <f t="shared" si="31"/>
        <v>0</v>
      </c>
      <c r="M104" s="79">
        <f t="shared" si="32"/>
        <v>46796.38</v>
      </c>
      <c r="N104" s="74">
        <f t="shared" si="33"/>
        <v>46796.38</v>
      </c>
    </row>
    <row r="105" spans="1:14" x14ac:dyDescent="0.2">
      <c r="A105" s="150">
        <v>96</v>
      </c>
      <c r="B105" s="103" t="s">
        <v>285</v>
      </c>
      <c r="C105" s="157" t="s">
        <v>455</v>
      </c>
      <c r="D105" s="57" t="s">
        <v>74</v>
      </c>
      <c r="E105" s="57" t="s">
        <v>24</v>
      </c>
      <c r="F105" s="67">
        <f>F106</f>
        <v>0</v>
      </c>
      <c r="G105" s="67">
        <f t="shared" si="43"/>
        <v>46.796379999999999</v>
      </c>
      <c r="H105" s="67">
        <f>H106</f>
        <v>46.796379999999999</v>
      </c>
      <c r="I105" s="73">
        <f t="shared" si="34"/>
        <v>0</v>
      </c>
      <c r="J105" s="123">
        <f t="shared" si="36"/>
        <v>100</v>
      </c>
      <c r="L105" s="74">
        <f t="shared" si="31"/>
        <v>0</v>
      </c>
      <c r="M105" s="79">
        <f t="shared" si="32"/>
        <v>46796.38</v>
      </c>
      <c r="N105" s="74">
        <f t="shared" si="33"/>
        <v>46796.38</v>
      </c>
    </row>
    <row r="106" spans="1:14" x14ac:dyDescent="0.2">
      <c r="A106" s="150">
        <v>97</v>
      </c>
      <c r="B106" s="58" t="s">
        <v>144</v>
      </c>
      <c r="C106" s="157" t="s">
        <v>455</v>
      </c>
      <c r="D106" s="57" t="s">
        <v>74</v>
      </c>
      <c r="E106" s="57" t="s">
        <v>57</v>
      </c>
      <c r="F106" s="156">
        <v>0</v>
      </c>
      <c r="G106" s="156">
        <f>35.94192+10.85446</f>
        <v>46.796379999999999</v>
      </c>
      <c r="H106" s="156">
        <f>35.94192+10.85446</f>
        <v>46.796379999999999</v>
      </c>
      <c r="I106" s="73">
        <f t="shared" si="34"/>
        <v>0</v>
      </c>
      <c r="J106" s="123">
        <f t="shared" si="36"/>
        <v>100</v>
      </c>
      <c r="L106" s="74">
        <f t="shared" si="31"/>
        <v>0</v>
      </c>
      <c r="M106" s="79">
        <f t="shared" si="32"/>
        <v>46796.38</v>
      </c>
      <c r="N106" s="74">
        <f t="shared" si="33"/>
        <v>46796.38</v>
      </c>
    </row>
    <row r="107" spans="1:14" x14ac:dyDescent="0.2">
      <c r="A107" s="150">
        <v>98</v>
      </c>
      <c r="B107" s="158" t="s">
        <v>71</v>
      </c>
      <c r="C107" s="157" t="s">
        <v>225</v>
      </c>
      <c r="D107" s="57" t="s">
        <v>72</v>
      </c>
      <c r="E107" s="57"/>
      <c r="F107" s="67">
        <f>F108</f>
        <v>229.923</v>
      </c>
      <c r="G107" s="156">
        <f t="shared" ref="G107:H109" si="44">G108</f>
        <v>248.44800000000001</v>
      </c>
      <c r="H107" s="156">
        <f t="shared" si="44"/>
        <v>234.75452000000001</v>
      </c>
      <c r="I107" s="73">
        <f t="shared" si="34"/>
        <v>13.693479999999994</v>
      </c>
      <c r="J107" s="123">
        <f t="shared" si="36"/>
        <v>94.488391937145792</v>
      </c>
      <c r="L107" s="74">
        <f t="shared" si="31"/>
        <v>229923</v>
      </c>
      <c r="M107" s="79">
        <f t="shared" si="32"/>
        <v>248448</v>
      </c>
      <c r="N107" s="74">
        <f t="shared" si="33"/>
        <v>234754.52000000002</v>
      </c>
    </row>
    <row r="108" spans="1:14" ht="27.75" customHeight="1" x14ac:dyDescent="0.2">
      <c r="A108" s="150">
        <v>99</v>
      </c>
      <c r="B108" s="158" t="s">
        <v>157</v>
      </c>
      <c r="C108" s="157" t="s">
        <v>225</v>
      </c>
      <c r="D108" s="57" t="s">
        <v>73</v>
      </c>
      <c r="E108" s="57"/>
      <c r="F108" s="67">
        <f>F109</f>
        <v>229.923</v>
      </c>
      <c r="G108" s="156">
        <f t="shared" si="44"/>
        <v>248.44800000000001</v>
      </c>
      <c r="H108" s="156">
        <f t="shared" si="44"/>
        <v>234.75452000000001</v>
      </c>
      <c r="I108" s="73">
        <f t="shared" si="34"/>
        <v>13.693479999999994</v>
      </c>
      <c r="J108" s="123">
        <f t="shared" si="36"/>
        <v>94.488391937145792</v>
      </c>
      <c r="L108" s="74">
        <f t="shared" si="31"/>
        <v>229923</v>
      </c>
      <c r="M108" s="79">
        <f t="shared" si="32"/>
        <v>248448</v>
      </c>
      <c r="N108" s="74">
        <f t="shared" si="33"/>
        <v>234754.52000000002</v>
      </c>
    </row>
    <row r="109" spans="1:14" x14ac:dyDescent="0.2">
      <c r="A109" s="150">
        <v>100</v>
      </c>
      <c r="B109" s="103" t="s">
        <v>285</v>
      </c>
      <c r="C109" s="157" t="s">
        <v>225</v>
      </c>
      <c r="D109" s="57" t="s">
        <v>73</v>
      </c>
      <c r="E109" s="57" t="s">
        <v>24</v>
      </c>
      <c r="F109" s="67">
        <f>F110</f>
        <v>229.923</v>
      </c>
      <c r="G109" s="67">
        <f t="shared" si="44"/>
        <v>248.44800000000001</v>
      </c>
      <c r="H109" s="67">
        <f t="shared" si="44"/>
        <v>234.75452000000001</v>
      </c>
      <c r="I109" s="73">
        <f t="shared" si="34"/>
        <v>13.693479999999994</v>
      </c>
      <c r="J109" s="123">
        <f t="shared" si="36"/>
        <v>94.488391937145792</v>
      </c>
      <c r="L109" s="74">
        <f t="shared" si="31"/>
        <v>229923</v>
      </c>
      <c r="M109" s="79">
        <f t="shared" si="32"/>
        <v>248448</v>
      </c>
      <c r="N109" s="74">
        <f t="shared" si="33"/>
        <v>234754.52000000002</v>
      </c>
    </row>
    <row r="110" spans="1:14" x14ac:dyDescent="0.2">
      <c r="A110" s="150">
        <v>101</v>
      </c>
      <c r="B110" s="58" t="s">
        <v>144</v>
      </c>
      <c r="C110" s="157" t="s">
        <v>225</v>
      </c>
      <c r="D110" s="57" t="s">
        <v>73</v>
      </c>
      <c r="E110" s="57" t="s">
        <v>57</v>
      </c>
      <c r="F110" s="156">
        <f>(55476+6000+148947+19500)/1000</f>
        <v>229.923</v>
      </c>
      <c r="G110" s="156">
        <f>248.448</f>
        <v>248.44800000000001</v>
      </c>
      <c r="H110" s="156">
        <v>234.75452000000001</v>
      </c>
      <c r="I110" s="73">
        <f t="shared" si="34"/>
        <v>13.693479999999994</v>
      </c>
      <c r="J110" s="123">
        <f t="shared" si="36"/>
        <v>94.488391937145792</v>
      </c>
      <c r="L110" s="74">
        <f t="shared" si="31"/>
        <v>229923</v>
      </c>
      <c r="M110" s="79">
        <f t="shared" si="32"/>
        <v>248448</v>
      </c>
      <c r="N110" s="74">
        <f t="shared" si="33"/>
        <v>234754.52000000002</v>
      </c>
    </row>
    <row r="111" spans="1:14" ht="25.5" x14ac:dyDescent="0.2">
      <c r="A111" s="150">
        <v>102</v>
      </c>
      <c r="B111" s="60" t="s">
        <v>160</v>
      </c>
      <c r="C111" s="155">
        <v>6400075140</v>
      </c>
      <c r="D111" s="57"/>
      <c r="E111" s="57"/>
      <c r="F111" s="67">
        <f t="shared" ref="F111:H114" si="45">F112</f>
        <v>13.920999999999999</v>
      </c>
      <c r="G111" s="67">
        <f t="shared" si="45"/>
        <v>14.367000000000001</v>
      </c>
      <c r="H111" s="67">
        <f t="shared" si="45"/>
        <v>14.367000000000001</v>
      </c>
      <c r="I111" s="73">
        <f t="shared" si="34"/>
        <v>0</v>
      </c>
      <c r="J111" s="123">
        <f t="shared" si="36"/>
        <v>100</v>
      </c>
      <c r="L111" s="74">
        <f t="shared" si="31"/>
        <v>13921</v>
      </c>
      <c r="M111" s="79">
        <f t="shared" si="32"/>
        <v>14367</v>
      </c>
      <c r="N111" s="74">
        <f t="shared" si="33"/>
        <v>14367</v>
      </c>
    </row>
    <row r="112" spans="1:14" x14ac:dyDescent="0.2">
      <c r="A112" s="150">
        <v>103</v>
      </c>
      <c r="B112" s="158" t="s">
        <v>71</v>
      </c>
      <c r="C112" s="155">
        <v>6400075140</v>
      </c>
      <c r="D112" s="57" t="s">
        <v>72</v>
      </c>
      <c r="E112" s="57"/>
      <c r="F112" s="67">
        <f>F113</f>
        <v>13.920999999999999</v>
      </c>
      <c r="G112" s="67">
        <f t="shared" si="45"/>
        <v>14.367000000000001</v>
      </c>
      <c r="H112" s="67">
        <f t="shared" si="45"/>
        <v>14.367000000000001</v>
      </c>
      <c r="I112" s="73">
        <f t="shared" si="34"/>
        <v>0</v>
      </c>
      <c r="J112" s="123">
        <f t="shared" si="36"/>
        <v>100</v>
      </c>
      <c r="L112" s="74">
        <f t="shared" si="31"/>
        <v>13921</v>
      </c>
      <c r="M112" s="79">
        <f t="shared" si="32"/>
        <v>14367</v>
      </c>
      <c r="N112" s="74">
        <f t="shared" si="33"/>
        <v>14367</v>
      </c>
    </row>
    <row r="113" spans="1:14" ht="25.5" x14ac:dyDescent="0.2">
      <c r="A113" s="150">
        <v>104</v>
      </c>
      <c r="B113" s="158" t="s">
        <v>157</v>
      </c>
      <c r="C113" s="155">
        <v>6400075140</v>
      </c>
      <c r="D113" s="57" t="s">
        <v>73</v>
      </c>
      <c r="E113" s="57"/>
      <c r="F113" s="67">
        <f>F114</f>
        <v>13.920999999999999</v>
      </c>
      <c r="G113" s="67">
        <f t="shared" si="45"/>
        <v>14.367000000000001</v>
      </c>
      <c r="H113" s="67">
        <f t="shared" si="45"/>
        <v>14.367000000000001</v>
      </c>
      <c r="I113" s="73">
        <f t="shared" si="34"/>
        <v>0</v>
      </c>
      <c r="J113" s="123">
        <f t="shared" si="36"/>
        <v>100</v>
      </c>
      <c r="L113" s="74">
        <f t="shared" si="31"/>
        <v>13921</v>
      </c>
      <c r="M113" s="79">
        <f t="shared" si="32"/>
        <v>14367</v>
      </c>
      <c r="N113" s="74">
        <f t="shared" si="33"/>
        <v>14367</v>
      </c>
    </row>
    <row r="114" spans="1:14" x14ac:dyDescent="0.2">
      <c r="A114" s="150">
        <v>105</v>
      </c>
      <c r="B114" s="103" t="s">
        <v>285</v>
      </c>
      <c r="C114" s="155">
        <v>6400075140</v>
      </c>
      <c r="D114" s="57" t="s">
        <v>73</v>
      </c>
      <c r="E114" s="57" t="s">
        <v>24</v>
      </c>
      <c r="F114" s="67">
        <f t="shared" si="45"/>
        <v>13.920999999999999</v>
      </c>
      <c r="G114" s="156">
        <f t="shared" si="45"/>
        <v>14.367000000000001</v>
      </c>
      <c r="H114" s="156">
        <f t="shared" si="45"/>
        <v>14.367000000000001</v>
      </c>
      <c r="I114" s="73">
        <f t="shared" si="34"/>
        <v>0</v>
      </c>
      <c r="J114" s="123">
        <f t="shared" si="36"/>
        <v>100</v>
      </c>
      <c r="L114" s="74">
        <f t="shared" si="31"/>
        <v>13921</v>
      </c>
      <c r="M114" s="79">
        <f t="shared" si="32"/>
        <v>14367</v>
      </c>
      <c r="N114" s="74">
        <f t="shared" si="33"/>
        <v>14367</v>
      </c>
    </row>
    <row r="115" spans="1:14" x14ac:dyDescent="0.2">
      <c r="A115" s="150">
        <v>106</v>
      </c>
      <c r="B115" s="58" t="s">
        <v>144</v>
      </c>
      <c r="C115" s="155">
        <v>6400075140</v>
      </c>
      <c r="D115" s="57" t="s">
        <v>73</v>
      </c>
      <c r="E115" s="57" t="s">
        <v>57</v>
      </c>
      <c r="F115" s="67">
        <v>13.920999999999999</v>
      </c>
      <c r="G115" s="156">
        <v>14.367000000000001</v>
      </c>
      <c r="H115" s="156">
        <v>14.367000000000001</v>
      </c>
      <c r="I115" s="73">
        <f t="shared" si="34"/>
        <v>0</v>
      </c>
      <c r="J115" s="123">
        <f t="shared" si="36"/>
        <v>100</v>
      </c>
      <c r="L115" s="74">
        <f t="shared" si="31"/>
        <v>13921</v>
      </c>
      <c r="M115" s="79">
        <f t="shared" si="32"/>
        <v>14367</v>
      </c>
      <c r="N115" s="74">
        <f t="shared" si="33"/>
        <v>14367</v>
      </c>
    </row>
    <row r="116" spans="1:14" x14ac:dyDescent="0.2">
      <c r="A116" s="150">
        <v>107</v>
      </c>
      <c r="B116" s="154" t="s">
        <v>222</v>
      </c>
      <c r="C116" s="155">
        <v>6400080240</v>
      </c>
      <c r="D116" s="57" t="s">
        <v>227</v>
      </c>
      <c r="E116" s="57"/>
      <c r="F116" s="67">
        <f>F117</f>
        <v>0</v>
      </c>
      <c r="G116" s="67">
        <f t="shared" ref="G116:H117" si="46">G117</f>
        <v>0</v>
      </c>
      <c r="H116" s="67">
        <f t="shared" si="46"/>
        <v>0</v>
      </c>
      <c r="I116" s="73">
        <f t="shared" si="34"/>
        <v>0</v>
      </c>
      <c r="J116" s="123">
        <v>0</v>
      </c>
      <c r="L116" s="74">
        <f t="shared" si="31"/>
        <v>0</v>
      </c>
      <c r="M116" s="79">
        <f t="shared" si="32"/>
        <v>0</v>
      </c>
      <c r="N116" s="74">
        <f t="shared" si="33"/>
        <v>0</v>
      </c>
    </row>
    <row r="117" spans="1:14" x14ac:dyDescent="0.2">
      <c r="A117" s="150">
        <v>108</v>
      </c>
      <c r="B117" s="58" t="s">
        <v>144</v>
      </c>
      <c r="C117" s="155">
        <v>6400080240</v>
      </c>
      <c r="D117" s="57" t="s">
        <v>164</v>
      </c>
      <c r="E117" s="57" t="s">
        <v>24</v>
      </c>
      <c r="F117" s="67">
        <f>F118</f>
        <v>0</v>
      </c>
      <c r="G117" s="67">
        <f t="shared" si="46"/>
        <v>0</v>
      </c>
      <c r="H117" s="67">
        <f t="shared" si="46"/>
        <v>0</v>
      </c>
      <c r="I117" s="73">
        <f t="shared" si="34"/>
        <v>0</v>
      </c>
      <c r="J117" s="123">
        <v>0</v>
      </c>
      <c r="L117" s="74">
        <f t="shared" si="31"/>
        <v>0</v>
      </c>
      <c r="M117" s="79">
        <f t="shared" si="32"/>
        <v>0</v>
      </c>
      <c r="N117" s="74">
        <f t="shared" si="33"/>
        <v>0</v>
      </c>
    </row>
    <row r="118" spans="1:14" x14ac:dyDescent="0.2">
      <c r="A118" s="150">
        <v>109</v>
      </c>
      <c r="B118" s="58" t="s">
        <v>400</v>
      </c>
      <c r="C118" s="155">
        <v>6400080240</v>
      </c>
      <c r="D118" s="57" t="s">
        <v>164</v>
      </c>
      <c r="E118" s="57" t="s">
        <v>57</v>
      </c>
      <c r="F118" s="67">
        <v>0</v>
      </c>
      <c r="G118" s="156">
        <v>0</v>
      </c>
      <c r="H118" s="156">
        <v>0</v>
      </c>
      <c r="I118" s="73">
        <f t="shared" si="34"/>
        <v>0</v>
      </c>
      <c r="J118" s="123">
        <v>0</v>
      </c>
      <c r="L118" s="74">
        <f t="shared" si="31"/>
        <v>0</v>
      </c>
      <c r="M118" s="79">
        <f t="shared" si="32"/>
        <v>0</v>
      </c>
      <c r="N118" s="74">
        <f t="shared" si="33"/>
        <v>0</v>
      </c>
    </row>
    <row r="119" spans="1:14" x14ac:dyDescent="0.2">
      <c r="A119" s="150">
        <v>110</v>
      </c>
      <c r="B119" s="65" t="s">
        <v>145</v>
      </c>
      <c r="C119" s="18">
        <v>6400000000</v>
      </c>
      <c r="D119" s="40"/>
      <c r="E119" s="40"/>
      <c r="F119" s="67">
        <f>F120</f>
        <v>432</v>
      </c>
      <c r="G119" s="67">
        <f>G120</f>
        <v>450.26599999999996</v>
      </c>
      <c r="H119" s="67">
        <f>H120</f>
        <v>450.26599999999996</v>
      </c>
      <c r="I119" s="73">
        <f t="shared" si="34"/>
        <v>0</v>
      </c>
      <c r="J119" s="123">
        <f t="shared" si="36"/>
        <v>100</v>
      </c>
      <c r="L119" s="74">
        <f t="shared" si="31"/>
        <v>432000</v>
      </c>
      <c r="M119" s="79">
        <f t="shared" si="32"/>
        <v>450265.99999999994</v>
      </c>
      <c r="N119" s="74">
        <f t="shared" si="33"/>
        <v>450265.99999999994</v>
      </c>
    </row>
    <row r="120" spans="1:14" ht="38.25" x14ac:dyDescent="0.2">
      <c r="A120" s="150">
        <v>111</v>
      </c>
      <c r="B120" s="159" t="s">
        <v>161</v>
      </c>
      <c r="C120" s="155">
        <v>6400051180</v>
      </c>
      <c r="D120" s="57"/>
      <c r="E120" s="57"/>
      <c r="F120" s="102">
        <f>F121+F125</f>
        <v>432</v>
      </c>
      <c r="G120" s="102">
        <f>G121+G125</f>
        <v>450.26599999999996</v>
      </c>
      <c r="H120" s="102">
        <f>H121+H125</f>
        <v>450.26599999999996</v>
      </c>
      <c r="I120" s="73">
        <f t="shared" si="34"/>
        <v>0</v>
      </c>
      <c r="J120" s="123">
        <f t="shared" si="36"/>
        <v>100</v>
      </c>
      <c r="L120" s="74">
        <f t="shared" si="31"/>
        <v>432000</v>
      </c>
      <c r="M120" s="79">
        <f t="shared" si="32"/>
        <v>450265.99999999994</v>
      </c>
      <c r="N120" s="74">
        <f t="shared" si="33"/>
        <v>450265.99999999994</v>
      </c>
    </row>
    <row r="121" spans="1:14" ht="38.25" x14ac:dyDescent="0.2">
      <c r="A121" s="150">
        <v>112</v>
      </c>
      <c r="B121" s="64" t="s">
        <v>69</v>
      </c>
      <c r="C121" s="155">
        <v>6400051180</v>
      </c>
      <c r="D121" s="57" t="s">
        <v>70</v>
      </c>
      <c r="E121" s="57"/>
      <c r="F121" s="102">
        <f>F122</f>
        <v>382.68801000000002</v>
      </c>
      <c r="G121" s="102">
        <f t="shared" ref="G121:H123" si="47">G122</f>
        <v>418.98958999999996</v>
      </c>
      <c r="H121" s="102">
        <f>H122</f>
        <v>418.98958999999996</v>
      </c>
      <c r="I121" s="73">
        <f t="shared" si="34"/>
        <v>0</v>
      </c>
      <c r="J121" s="123">
        <f t="shared" si="36"/>
        <v>100</v>
      </c>
      <c r="L121" s="74">
        <f t="shared" si="31"/>
        <v>382688.01</v>
      </c>
      <c r="M121" s="79">
        <f t="shared" si="32"/>
        <v>418989.58999999997</v>
      </c>
      <c r="N121" s="74">
        <f t="shared" si="33"/>
        <v>418989.58999999997</v>
      </c>
    </row>
    <row r="122" spans="1:14" x14ac:dyDescent="0.2">
      <c r="A122" s="150">
        <v>113</v>
      </c>
      <c r="B122" s="60" t="s">
        <v>158</v>
      </c>
      <c r="C122" s="155">
        <v>6400051180</v>
      </c>
      <c r="D122" s="57" t="s">
        <v>74</v>
      </c>
      <c r="E122" s="57"/>
      <c r="F122" s="102">
        <f t="shared" ref="F122:F123" si="48">F123</f>
        <v>382.68801000000002</v>
      </c>
      <c r="G122" s="156">
        <f t="shared" si="47"/>
        <v>418.98958999999996</v>
      </c>
      <c r="H122" s="156">
        <f>H123</f>
        <v>418.98958999999996</v>
      </c>
      <c r="I122" s="73">
        <f t="shared" si="34"/>
        <v>0</v>
      </c>
      <c r="J122" s="123">
        <f t="shared" si="36"/>
        <v>100</v>
      </c>
      <c r="L122" s="74">
        <f t="shared" si="31"/>
        <v>382688.01</v>
      </c>
      <c r="M122" s="79">
        <f t="shared" si="32"/>
        <v>418989.58999999997</v>
      </c>
      <c r="N122" s="74">
        <f t="shared" si="33"/>
        <v>418989.58999999997</v>
      </c>
    </row>
    <row r="123" spans="1:14" x14ac:dyDescent="0.2">
      <c r="A123" s="150">
        <v>114</v>
      </c>
      <c r="B123" s="58" t="s">
        <v>146</v>
      </c>
      <c r="C123" s="155">
        <v>6400051180</v>
      </c>
      <c r="D123" s="57" t="s">
        <v>74</v>
      </c>
      <c r="E123" s="57" t="s">
        <v>147</v>
      </c>
      <c r="F123" s="102">
        <f t="shared" si="48"/>
        <v>382.68801000000002</v>
      </c>
      <c r="G123" s="156">
        <f t="shared" si="47"/>
        <v>418.98958999999996</v>
      </c>
      <c r="H123" s="156">
        <f t="shared" si="47"/>
        <v>418.98958999999996</v>
      </c>
      <c r="I123" s="73">
        <f t="shared" si="34"/>
        <v>0</v>
      </c>
      <c r="J123" s="123">
        <f t="shared" si="36"/>
        <v>100</v>
      </c>
      <c r="L123" s="74">
        <f t="shared" si="31"/>
        <v>382688.01</v>
      </c>
      <c r="M123" s="79">
        <f t="shared" si="32"/>
        <v>418989.58999999997</v>
      </c>
      <c r="N123" s="74">
        <f t="shared" si="33"/>
        <v>418989.58999999997</v>
      </c>
    </row>
    <row r="124" spans="1:14" x14ac:dyDescent="0.2">
      <c r="A124" s="150">
        <v>115</v>
      </c>
      <c r="B124" s="58" t="s">
        <v>148</v>
      </c>
      <c r="C124" s="155">
        <v>6400051180</v>
      </c>
      <c r="D124" s="57" t="s">
        <v>74</v>
      </c>
      <c r="E124" s="57" t="s">
        <v>29</v>
      </c>
      <c r="F124" s="106">
        <f>(293923.2+88764.81)/1000</f>
        <v>382.68801000000002</v>
      </c>
      <c r="G124" s="156">
        <f>322.76649+96.2231</f>
        <v>418.98958999999996</v>
      </c>
      <c r="H124" s="156">
        <f>322.76649+96.2231</f>
        <v>418.98958999999996</v>
      </c>
      <c r="I124" s="73">
        <f t="shared" si="34"/>
        <v>0</v>
      </c>
      <c r="J124" s="123">
        <f t="shared" si="36"/>
        <v>100</v>
      </c>
      <c r="L124" s="74">
        <f t="shared" si="31"/>
        <v>382688.01</v>
      </c>
      <c r="M124" s="79">
        <f t="shared" si="32"/>
        <v>418989.58999999997</v>
      </c>
      <c r="N124" s="74">
        <f t="shared" si="33"/>
        <v>418989.58999999997</v>
      </c>
    </row>
    <row r="125" spans="1:14" x14ac:dyDescent="0.2">
      <c r="A125" s="150">
        <v>116</v>
      </c>
      <c r="B125" s="158" t="s">
        <v>71</v>
      </c>
      <c r="C125" s="155">
        <v>6400051180</v>
      </c>
      <c r="D125" s="57" t="s">
        <v>72</v>
      </c>
      <c r="E125" s="57"/>
      <c r="F125" s="102">
        <f t="shared" ref="F125:H127" si="49">F126</f>
        <v>49.311989999999994</v>
      </c>
      <c r="G125" s="156">
        <f>G126</f>
        <v>31.276409999999998</v>
      </c>
      <c r="H125" s="156">
        <f t="shared" si="49"/>
        <v>31.276409999999998</v>
      </c>
      <c r="I125" s="73">
        <f t="shared" si="34"/>
        <v>0</v>
      </c>
      <c r="J125" s="123">
        <f t="shared" si="36"/>
        <v>100</v>
      </c>
      <c r="L125" s="74">
        <f t="shared" si="31"/>
        <v>49311.99</v>
      </c>
      <c r="M125" s="79">
        <f t="shared" si="32"/>
        <v>31276.41</v>
      </c>
      <c r="N125" s="74">
        <f t="shared" si="33"/>
        <v>31276.41</v>
      </c>
    </row>
    <row r="126" spans="1:14" ht="25.5" x14ac:dyDescent="0.2">
      <c r="A126" s="150">
        <v>117</v>
      </c>
      <c r="B126" s="158" t="s">
        <v>157</v>
      </c>
      <c r="C126" s="155">
        <v>6400051180</v>
      </c>
      <c r="D126" s="57" t="s">
        <v>73</v>
      </c>
      <c r="E126" s="57"/>
      <c r="F126" s="102">
        <f t="shared" si="49"/>
        <v>49.311989999999994</v>
      </c>
      <c r="G126" s="156">
        <f>G127</f>
        <v>31.276409999999998</v>
      </c>
      <c r="H126" s="156">
        <f t="shared" si="49"/>
        <v>31.276409999999998</v>
      </c>
      <c r="I126" s="73">
        <f t="shared" si="34"/>
        <v>0</v>
      </c>
      <c r="J126" s="123">
        <f t="shared" si="36"/>
        <v>100</v>
      </c>
      <c r="L126" s="74">
        <f t="shared" si="31"/>
        <v>49311.99</v>
      </c>
      <c r="M126" s="79">
        <f t="shared" si="32"/>
        <v>31276.41</v>
      </c>
      <c r="N126" s="74">
        <f t="shared" si="33"/>
        <v>31276.41</v>
      </c>
    </row>
    <row r="127" spans="1:14" x14ac:dyDescent="0.2">
      <c r="A127" s="150">
        <v>118</v>
      </c>
      <c r="B127" s="58" t="s">
        <v>146</v>
      </c>
      <c r="C127" s="155">
        <v>6400051180</v>
      </c>
      <c r="D127" s="57" t="s">
        <v>73</v>
      </c>
      <c r="E127" s="57" t="s">
        <v>147</v>
      </c>
      <c r="F127" s="102">
        <f t="shared" si="49"/>
        <v>49.311989999999994</v>
      </c>
      <c r="G127" s="156">
        <f>G128</f>
        <v>31.276409999999998</v>
      </c>
      <c r="H127" s="156">
        <f t="shared" si="49"/>
        <v>31.276409999999998</v>
      </c>
      <c r="I127" s="73">
        <f t="shared" si="34"/>
        <v>0</v>
      </c>
      <c r="J127" s="123">
        <f t="shared" si="36"/>
        <v>100</v>
      </c>
      <c r="L127" s="74">
        <f t="shared" si="31"/>
        <v>49311.99</v>
      </c>
      <c r="M127" s="79">
        <f t="shared" si="32"/>
        <v>31276.41</v>
      </c>
      <c r="N127" s="74">
        <f t="shared" si="33"/>
        <v>31276.41</v>
      </c>
    </row>
    <row r="128" spans="1:14" x14ac:dyDescent="0.2">
      <c r="A128" s="150">
        <v>119</v>
      </c>
      <c r="B128" s="58" t="s">
        <v>148</v>
      </c>
      <c r="C128" s="155">
        <v>6400051180</v>
      </c>
      <c r="D128" s="57" t="s">
        <v>73</v>
      </c>
      <c r="E128" s="57" t="s">
        <v>29</v>
      </c>
      <c r="F128" s="106">
        <f>(7800+1000+35500+5011.99)/1000</f>
        <v>49.311989999999994</v>
      </c>
      <c r="G128" s="106">
        <f>31.27641</f>
        <v>31.276409999999998</v>
      </c>
      <c r="H128" s="106">
        <v>31.276409999999998</v>
      </c>
      <c r="I128" s="73">
        <f t="shared" si="34"/>
        <v>0</v>
      </c>
      <c r="J128" s="123">
        <f t="shared" si="36"/>
        <v>100</v>
      </c>
      <c r="L128" s="74">
        <f t="shared" si="31"/>
        <v>49311.99</v>
      </c>
      <c r="M128" s="79">
        <f t="shared" si="32"/>
        <v>31276.41</v>
      </c>
      <c r="N128" s="74">
        <f t="shared" si="33"/>
        <v>31276.41</v>
      </c>
    </row>
    <row r="129" spans="1:14" x14ac:dyDescent="0.2">
      <c r="A129" s="150">
        <v>120</v>
      </c>
      <c r="B129" s="65" t="s">
        <v>145</v>
      </c>
      <c r="C129" s="18">
        <v>6300000000</v>
      </c>
      <c r="D129" s="57"/>
      <c r="E129" s="57"/>
      <c r="F129" s="106">
        <f>F130</f>
        <v>22</v>
      </c>
      <c r="G129" s="106">
        <f t="shared" ref="G129" si="50">G130</f>
        <v>22</v>
      </c>
      <c r="H129" s="106">
        <f>H130</f>
        <v>19.72</v>
      </c>
      <c r="I129" s="73">
        <f t="shared" si="34"/>
        <v>2.2800000000000011</v>
      </c>
      <c r="J129" s="123">
        <f t="shared" si="36"/>
        <v>89.63636363636364</v>
      </c>
      <c r="L129" s="74">
        <f t="shared" si="31"/>
        <v>22000</v>
      </c>
      <c r="M129" s="79">
        <f t="shared" si="32"/>
        <v>22000</v>
      </c>
      <c r="N129" s="74">
        <f t="shared" si="33"/>
        <v>19720</v>
      </c>
    </row>
    <row r="130" spans="1:14" ht="38.25" x14ac:dyDescent="0.2">
      <c r="A130" s="150">
        <v>121</v>
      </c>
      <c r="B130" s="107" t="s">
        <v>315</v>
      </c>
      <c r="C130" s="35" t="s">
        <v>316</v>
      </c>
      <c r="D130" s="57"/>
      <c r="E130" s="57"/>
      <c r="F130" s="106">
        <f>F131</f>
        <v>22</v>
      </c>
      <c r="G130" s="156">
        <f t="shared" ref="F130:H145" si="51">G131</f>
        <v>22</v>
      </c>
      <c r="H130" s="156">
        <f t="shared" si="51"/>
        <v>19.72</v>
      </c>
      <c r="I130" s="73">
        <f t="shared" si="34"/>
        <v>2.2800000000000011</v>
      </c>
      <c r="J130" s="123">
        <f t="shared" si="36"/>
        <v>89.63636363636364</v>
      </c>
      <c r="L130" s="74">
        <f t="shared" si="31"/>
        <v>22000</v>
      </c>
      <c r="M130" s="79">
        <f t="shared" si="32"/>
        <v>22000</v>
      </c>
      <c r="N130" s="74">
        <f t="shared" si="33"/>
        <v>19720</v>
      </c>
    </row>
    <row r="131" spans="1:14" x14ac:dyDescent="0.2">
      <c r="A131" s="150">
        <v>122</v>
      </c>
      <c r="B131" s="158" t="s">
        <v>71</v>
      </c>
      <c r="C131" s="35" t="s">
        <v>233</v>
      </c>
      <c r="D131" s="57" t="s">
        <v>72</v>
      </c>
      <c r="E131" s="57"/>
      <c r="F131" s="106">
        <f t="shared" si="51"/>
        <v>22</v>
      </c>
      <c r="G131" s="156">
        <f t="shared" si="51"/>
        <v>22</v>
      </c>
      <c r="H131" s="156">
        <f>H132</f>
        <v>19.72</v>
      </c>
      <c r="I131" s="73">
        <f t="shared" si="34"/>
        <v>2.2800000000000011</v>
      </c>
      <c r="J131" s="123">
        <f t="shared" si="36"/>
        <v>89.63636363636364</v>
      </c>
      <c r="L131" s="74">
        <f t="shared" si="31"/>
        <v>22000</v>
      </c>
      <c r="M131" s="79">
        <f t="shared" si="32"/>
        <v>22000</v>
      </c>
      <c r="N131" s="74">
        <f t="shared" si="33"/>
        <v>19720</v>
      </c>
    </row>
    <row r="132" spans="1:14" ht="25.5" x14ac:dyDescent="0.2">
      <c r="A132" s="150">
        <v>123</v>
      </c>
      <c r="B132" s="158" t="s">
        <v>157</v>
      </c>
      <c r="C132" s="155">
        <v>6300080220</v>
      </c>
      <c r="D132" s="57" t="s">
        <v>73</v>
      </c>
      <c r="E132" s="57"/>
      <c r="F132" s="106">
        <f>F133</f>
        <v>22</v>
      </c>
      <c r="G132" s="106">
        <f t="shared" si="51"/>
        <v>22</v>
      </c>
      <c r="H132" s="106">
        <f>H133</f>
        <v>19.72</v>
      </c>
      <c r="I132" s="73">
        <f t="shared" si="34"/>
        <v>2.2800000000000011</v>
      </c>
      <c r="J132" s="123">
        <f t="shared" si="36"/>
        <v>89.63636363636364</v>
      </c>
      <c r="L132" s="74">
        <f t="shared" si="31"/>
        <v>22000</v>
      </c>
      <c r="M132" s="79">
        <f t="shared" si="32"/>
        <v>22000</v>
      </c>
      <c r="N132" s="74">
        <f t="shared" si="33"/>
        <v>19720</v>
      </c>
    </row>
    <row r="133" spans="1:14" ht="25.5" x14ac:dyDescent="0.2">
      <c r="A133" s="150">
        <v>124</v>
      </c>
      <c r="B133" s="103" t="s">
        <v>186</v>
      </c>
      <c r="C133" s="35" t="s">
        <v>233</v>
      </c>
      <c r="D133" s="105" t="s">
        <v>73</v>
      </c>
      <c r="E133" s="105" t="s">
        <v>195</v>
      </c>
      <c r="F133" s="108">
        <f>F134</f>
        <v>22</v>
      </c>
      <c r="G133" s="108">
        <f t="shared" si="51"/>
        <v>22</v>
      </c>
      <c r="H133" s="108">
        <f>H134</f>
        <v>19.72</v>
      </c>
      <c r="I133" s="73">
        <f t="shared" si="34"/>
        <v>2.2800000000000011</v>
      </c>
      <c r="J133" s="123">
        <f t="shared" si="36"/>
        <v>89.63636363636364</v>
      </c>
      <c r="L133" s="74">
        <f t="shared" si="31"/>
        <v>22000</v>
      </c>
      <c r="M133" s="79">
        <f t="shared" si="32"/>
        <v>22000</v>
      </c>
      <c r="N133" s="74">
        <f t="shared" si="33"/>
        <v>19720</v>
      </c>
    </row>
    <row r="134" spans="1:14" ht="25.5" x14ac:dyDescent="0.2">
      <c r="A134" s="150">
        <v>125</v>
      </c>
      <c r="B134" s="103" t="s">
        <v>231</v>
      </c>
      <c r="C134" s="35" t="s">
        <v>233</v>
      </c>
      <c r="D134" s="105" t="s">
        <v>73</v>
      </c>
      <c r="E134" s="105" t="s">
        <v>232</v>
      </c>
      <c r="F134" s="108">
        <v>22</v>
      </c>
      <c r="G134" s="160">
        <v>22</v>
      </c>
      <c r="H134" s="160">
        <v>19.72</v>
      </c>
      <c r="I134" s="73">
        <f t="shared" si="34"/>
        <v>2.2800000000000011</v>
      </c>
      <c r="J134" s="123">
        <f t="shared" si="36"/>
        <v>89.63636363636364</v>
      </c>
      <c r="L134" s="74">
        <f t="shared" si="31"/>
        <v>22000</v>
      </c>
      <c r="M134" s="79">
        <f t="shared" si="32"/>
        <v>22000</v>
      </c>
      <c r="N134" s="74">
        <f t="shared" si="33"/>
        <v>19720</v>
      </c>
    </row>
    <row r="135" spans="1:14" x14ac:dyDescent="0.2">
      <c r="A135" s="150">
        <v>126</v>
      </c>
      <c r="B135" s="65" t="s">
        <v>145</v>
      </c>
      <c r="C135" s="18">
        <v>6400000000</v>
      </c>
      <c r="D135" s="57"/>
      <c r="E135" s="57"/>
      <c r="F135" s="106">
        <f t="shared" si="51"/>
        <v>0</v>
      </c>
      <c r="G135" s="156">
        <f>G136</f>
        <v>0</v>
      </c>
      <c r="H135" s="156">
        <f>H136</f>
        <v>0</v>
      </c>
      <c r="I135" s="73">
        <f t="shared" si="34"/>
        <v>0</v>
      </c>
      <c r="J135" s="123">
        <v>0</v>
      </c>
      <c r="L135" s="74">
        <f t="shared" si="31"/>
        <v>0</v>
      </c>
      <c r="M135" s="79">
        <f t="shared" si="32"/>
        <v>0</v>
      </c>
      <c r="N135" s="74">
        <f t="shared" si="33"/>
        <v>0</v>
      </c>
    </row>
    <row r="136" spans="1:14" ht="38.25" x14ac:dyDescent="0.2">
      <c r="A136" s="150">
        <v>127</v>
      </c>
      <c r="B136" s="107" t="s">
        <v>317</v>
      </c>
      <c r="C136" s="35" t="s">
        <v>229</v>
      </c>
      <c r="D136" s="57"/>
      <c r="E136" s="57"/>
      <c r="F136" s="106">
        <f t="shared" si="51"/>
        <v>0</v>
      </c>
      <c r="G136" s="156">
        <f>G137</f>
        <v>0</v>
      </c>
      <c r="H136" s="156">
        <f>H137</f>
        <v>0</v>
      </c>
      <c r="I136" s="73">
        <f t="shared" si="34"/>
        <v>0</v>
      </c>
      <c r="J136" s="123">
        <v>0</v>
      </c>
      <c r="L136" s="74">
        <f t="shared" si="31"/>
        <v>0</v>
      </c>
      <c r="M136" s="79">
        <f t="shared" si="32"/>
        <v>0</v>
      </c>
      <c r="N136" s="74">
        <f t="shared" si="33"/>
        <v>0</v>
      </c>
    </row>
    <row r="137" spans="1:14" x14ac:dyDescent="0.2">
      <c r="A137" s="150">
        <v>128</v>
      </c>
      <c r="B137" s="158" t="s">
        <v>71</v>
      </c>
      <c r="C137" s="35" t="s">
        <v>263</v>
      </c>
      <c r="D137" s="57" t="s">
        <v>72</v>
      </c>
      <c r="E137" s="57"/>
      <c r="F137" s="106">
        <f t="shared" si="51"/>
        <v>0</v>
      </c>
      <c r="G137" s="106">
        <f t="shared" si="51"/>
        <v>0</v>
      </c>
      <c r="H137" s="106">
        <f>H138</f>
        <v>0</v>
      </c>
      <c r="I137" s="73">
        <f t="shared" si="34"/>
        <v>0</v>
      </c>
      <c r="J137" s="123">
        <v>0</v>
      </c>
      <c r="L137" s="74">
        <f t="shared" si="31"/>
        <v>0</v>
      </c>
      <c r="M137" s="79">
        <f t="shared" si="32"/>
        <v>0</v>
      </c>
      <c r="N137" s="74">
        <f t="shared" si="33"/>
        <v>0</v>
      </c>
    </row>
    <row r="138" spans="1:14" ht="26.25" customHeight="1" x14ac:dyDescent="0.2">
      <c r="A138" s="150">
        <v>129</v>
      </c>
      <c r="B138" s="158" t="s">
        <v>157</v>
      </c>
      <c r="C138" s="35" t="s">
        <v>263</v>
      </c>
      <c r="D138" s="57" t="s">
        <v>73</v>
      </c>
      <c r="E138" s="57"/>
      <c r="F138" s="106">
        <f>F139</f>
        <v>0</v>
      </c>
      <c r="G138" s="106">
        <f t="shared" si="51"/>
        <v>0</v>
      </c>
      <c r="H138" s="106">
        <f>H139</f>
        <v>0</v>
      </c>
      <c r="I138" s="73">
        <f t="shared" si="34"/>
        <v>0</v>
      </c>
      <c r="J138" s="123">
        <v>0</v>
      </c>
      <c r="L138" s="74">
        <f t="shared" si="31"/>
        <v>0</v>
      </c>
      <c r="M138" s="79">
        <f t="shared" si="32"/>
        <v>0</v>
      </c>
      <c r="N138" s="74">
        <f t="shared" si="33"/>
        <v>0</v>
      </c>
    </row>
    <row r="139" spans="1:14" x14ac:dyDescent="0.2">
      <c r="A139" s="150">
        <v>130</v>
      </c>
      <c r="B139" s="103" t="s">
        <v>149</v>
      </c>
      <c r="C139" s="35" t="s">
        <v>263</v>
      </c>
      <c r="D139" s="105" t="s">
        <v>73</v>
      </c>
      <c r="E139" s="105" t="s">
        <v>150</v>
      </c>
      <c r="F139" s="108">
        <f>F141+F140</f>
        <v>0</v>
      </c>
      <c r="G139" s="108">
        <f t="shared" ref="G139" si="52">G141+G140</f>
        <v>0</v>
      </c>
      <c r="H139" s="108">
        <f>H141+H140</f>
        <v>0</v>
      </c>
      <c r="I139" s="73">
        <f t="shared" si="34"/>
        <v>0</v>
      </c>
      <c r="J139" s="123">
        <v>0</v>
      </c>
      <c r="L139" s="74">
        <f t="shared" si="31"/>
        <v>0</v>
      </c>
      <c r="M139" s="79">
        <f t="shared" si="32"/>
        <v>0</v>
      </c>
      <c r="N139" s="74">
        <f t="shared" si="33"/>
        <v>0</v>
      </c>
    </row>
    <row r="140" spans="1:14" x14ac:dyDescent="0.2">
      <c r="A140" s="150">
        <v>131</v>
      </c>
      <c r="B140" s="109" t="s">
        <v>151</v>
      </c>
      <c r="C140" s="35" t="s">
        <v>383</v>
      </c>
      <c r="D140" s="105" t="s">
        <v>73</v>
      </c>
      <c r="E140" s="105" t="s">
        <v>58</v>
      </c>
      <c r="F140" s="108">
        <v>0</v>
      </c>
      <c r="G140" s="156">
        <v>0</v>
      </c>
      <c r="H140" s="156">
        <v>0</v>
      </c>
      <c r="I140" s="73">
        <f t="shared" si="34"/>
        <v>0</v>
      </c>
      <c r="J140" s="123">
        <v>0</v>
      </c>
      <c r="L140" s="74">
        <f t="shared" ref="L140:L179" si="53">F140*1000</f>
        <v>0</v>
      </c>
      <c r="M140" s="79">
        <f t="shared" ref="M140:M179" si="54">G140*1000</f>
        <v>0</v>
      </c>
      <c r="N140" s="74">
        <f t="shared" ref="N140:N179" si="55">H140*1000</f>
        <v>0</v>
      </c>
    </row>
    <row r="141" spans="1:14" x14ac:dyDescent="0.2">
      <c r="A141" s="150">
        <v>132</v>
      </c>
      <c r="B141" s="109" t="s">
        <v>264</v>
      </c>
      <c r="C141" s="35" t="s">
        <v>263</v>
      </c>
      <c r="D141" s="105" t="s">
        <v>73</v>
      </c>
      <c r="E141" s="105" t="s">
        <v>262</v>
      </c>
      <c r="F141" s="108">
        <v>0</v>
      </c>
      <c r="G141" s="156">
        <v>0</v>
      </c>
      <c r="H141" s="156">
        <v>0</v>
      </c>
      <c r="I141" s="73">
        <f t="shared" si="34"/>
        <v>0</v>
      </c>
      <c r="J141" s="123">
        <v>0</v>
      </c>
      <c r="L141" s="74">
        <f t="shared" si="53"/>
        <v>0</v>
      </c>
      <c r="M141" s="79">
        <f t="shared" si="54"/>
        <v>0</v>
      </c>
      <c r="N141" s="74">
        <f t="shared" si="55"/>
        <v>0</v>
      </c>
    </row>
    <row r="142" spans="1:14" x14ac:dyDescent="0.2">
      <c r="A142" s="150">
        <v>133</v>
      </c>
      <c r="B142" s="65" t="s">
        <v>145</v>
      </c>
      <c r="C142" s="18">
        <v>6400000000</v>
      </c>
      <c r="D142" s="110"/>
      <c r="E142" s="110"/>
      <c r="F142" s="106">
        <f>F143+F148+F153+F158</f>
        <v>168</v>
      </c>
      <c r="G142" s="106">
        <f t="shared" ref="G142:H142" si="56">G143+G148+G153+G158</f>
        <v>2161.6820000000002</v>
      </c>
      <c r="H142" s="106">
        <f t="shared" si="56"/>
        <v>2161.2856099999999</v>
      </c>
      <c r="I142" s="73">
        <f t="shared" si="34"/>
        <v>0.39639000000033775</v>
      </c>
      <c r="J142" s="123">
        <f t="shared" si="36"/>
        <v>99.981662890286344</v>
      </c>
      <c r="L142" s="74">
        <f t="shared" si="53"/>
        <v>168000</v>
      </c>
      <c r="M142" s="79">
        <f t="shared" si="54"/>
        <v>2161682.0000000005</v>
      </c>
      <c r="N142" s="74">
        <f t="shared" si="55"/>
        <v>2161285.61</v>
      </c>
    </row>
    <row r="143" spans="1:14" ht="25.5" x14ac:dyDescent="0.2">
      <c r="A143" s="150">
        <v>134</v>
      </c>
      <c r="B143" s="107" t="s">
        <v>459</v>
      </c>
      <c r="C143" s="35" t="s">
        <v>229</v>
      </c>
      <c r="D143" s="110"/>
      <c r="E143" s="110"/>
      <c r="F143" s="106">
        <f>F144</f>
        <v>168</v>
      </c>
      <c r="G143" s="106">
        <f t="shared" si="51"/>
        <v>168</v>
      </c>
      <c r="H143" s="106">
        <f t="shared" si="51"/>
        <v>167.60361</v>
      </c>
      <c r="I143" s="73">
        <f t="shared" ref="I143:I176" si="57">G143-H143</f>
        <v>0.39638999999999669</v>
      </c>
      <c r="J143" s="123">
        <f t="shared" si="36"/>
        <v>99.764053571428562</v>
      </c>
      <c r="L143" s="74">
        <f t="shared" si="53"/>
        <v>168000</v>
      </c>
      <c r="M143" s="79">
        <f t="shared" si="54"/>
        <v>168000</v>
      </c>
      <c r="N143" s="74">
        <f t="shared" si="55"/>
        <v>167603.61000000002</v>
      </c>
    </row>
    <row r="144" spans="1:14" x14ac:dyDescent="0.2">
      <c r="A144" s="150">
        <v>135</v>
      </c>
      <c r="B144" s="158" t="s">
        <v>71</v>
      </c>
      <c r="C144" s="35" t="s">
        <v>265</v>
      </c>
      <c r="D144" s="110" t="s">
        <v>72</v>
      </c>
      <c r="E144" s="110"/>
      <c r="F144" s="106">
        <f>F145</f>
        <v>168</v>
      </c>
      <c r="G144" s="106">
        <f t="shared" si="51"/>
        <v>168</v>
      </c>
      <c r="H144" s="106">
        <f t="shared" si="51"/>
        <v>167.60361</v>
      </c>
      <c r="I144" s="73">
        <f t="shared" si="57"/>
        <v>0.39638999999999669</v>
      </c>
      <c r="J144" s="123">
        <f t="shared" ref="J144:J174" si="58">H144/G144*100</f>
        <v>99.764053571428562</v>
      </c>
      <c r="L144" s="74">
        <f t="shared" si="53"/>
        <v>168000</v>
      </c>
      <c r="M144" s="79">
        <f t="shared" si="54"/>
        <v>168000</v>
      </c>
      <c r="N144" s="74">
        <f t="shared" si="55"/>
        <v>167603.61000000002</v>
      </c>
    </row>
    <row r="145" spans="1:14" ht="25.5" x14ac:dyDescent="0.2">
      <c r="A145" s="150">
        <v>136</v>
      </c>
      <c r="B145" s="158" t="s">
        <v>157</v>
      </c>
      <c r="C145" s="35" t="s">
        <v>265</v>
      </c>
      <c r="D145" s="110" t="s">
        <v>73</v>
      </c>
      <c r="E145" s="110"/>
      <c r="F145" s="106">
        <f>F146</f>
        <v>168</v>
      </c>
      <c r="G145" s="106">
        <f t="shared" si="51"/>
        <v>168</v>
      </c>
      <c r="H145" s="106">
        <f t="shared" si="51"/>
        <v>167.60361</v>
      </c>
      <c r="I145" s="73">
        <f t="shared" si="57"/>
        <v>0.39638999999999669</v>
      </c>
      <c r="J145" s="123">
        <f t="shared" si="58"/>
        <v>99.764053571428562</v>
      </c>
      <c r="L145" s="74">
        <f t="shared" si="53"/>
        <v>168000</v>
      </c>
      <c r="M145" s="79">
        <f t="shared" si="54"/>
        <v>168000</v>
      </c>
      <c r="N145" s="74">
        <f t="shared" si="55"/>
        <v>167603.61000000002</v>
      </c>
    </row>
    <row r="146" spans="1:14" x14ac:dyDescent="0.2">
      <c r="A146" s="150">
        <v>137</v>
      </c>
      <c r="B146" s="111" t="s">
        <v>152</v>
      </c>
      <c r="C146" s="35" t="s">
        <v>265</v>
      </c>
      <c r="D146" s="112" t="s">
        <v>73</v>
      </c>
      <c r="E146" s="112" t="s">
        <v>30</v>
      </c>
      <c r="F146" s="108">
        <f>F147</f>
        <v>168</v>
      </c>
      <c r="G146" s="156">
        <f t="shared" ref="G146" si="59">SUM(G147)</f>
        <v>168</v>
      </c>
      <c r="H146" s="156">
        <f>SUM(H147)</f>
        <v>167.60361</v>
      </c>
      <c r="I146" s="73">
        <f t="shared" si="57"/>
        <v>0.39638999999999669</v>
      </c>
      <c r="J146" s="123">
        <f t="shared" si="58"/>
        <v>99.764053571428562</v>
      </c>
      <c r="L146" s="74">
        <f t="shared" si="53"/>
        <v>168000</v>
      </c>
      <c r="M146" s="79">
        <f t="shared" si="54"/>
        <v>168000</v>
      </c>
      <c r="N146" s="74">
        <f t="shared" si="55"/>
        <v>167603.61000000002</v>
      </c>
    </row>
    <row r="147" spans="1:14" x14ac:dyDescent="0.2">
      <c r="A147" s="150">
        <v>138</v>
      </c>
      <c r="B147" s="113" t="s">
        <v>153</v>
      </c>
      <c r="C147" s="35" t="s">
        <v>265</v>
      </c>
      <c r="D147" s="112" t="s">
        <v>73</v>
      </c>
      <c r="E147" s="112" t="s">
        <v>31</v>
      </c>
      <c r="F147" s="108">
        <v>168</v>
      </c>
      <c r="G147" s="108">
        <v>168</v>
      </c>
      <c r="H147" s="108">
        <v>167.60361</v>
      </c>
      <c r="I147" s="73">
        <f t="shared" si="57"/>
        <v>0.39638999999999669</v>
      </c>
      <c r="J147" s="123">
        <f t="shared" si="58"/>
        <v>99.764053571428562</v>
      </c>
      <c r="L147" s="74">
        <f t="shared" si="53"/>
        <v>168000</v>
      </c>
      <c r="M147" s="79">
        <f t="shared" si="54"/>
        <v>168000</v>
      </c>
      <c r="N147" s="74">
        <f t="shared" si="55"/>
        <v>167603.61000000002</v>
      </c>
    </row>
    <row r="148" spans="1:14" ht="25.5" x14ac:dyDescent="0.2">
      <c r="A148" s="150">
        <v>139</v>
      </c>
      <c r="B148" s="107" t="s">
        <v>459</v>
      </c>
      <c r="C148" s="35" t="s">
        <v>383</v>
      </c>
      <c r="D148" s="112"/>
      <c r="E148" s="112"/>
      <c r="F148" s="108">
        <f>F149</f>
        <v>0</v>
      </c>
      <c r="G148" s="108">
        <f t="shared" ref="G148:H150" si="60">G149</f>
        <v>112.38200000000001</v>
      </c>
      <c r="H148" s="108">
        <f t="shared" si="60"/>
        <v>112.38200000000001</v>
      </c>
      <c r="I148" s="73">
        <f t="shared" si="57"/>
        <v>0</v>
      </c>
      <c r="J148" s="123">
        <f t="shared" si="58"/>
        <v>100</v>
      </c>
      <c r="L148" s="74">
        <f t="shared" si="53"/>
        <v>0</v>
      </c>
      <c r="M148" s="79">
        <f t="shared" si="54"/>
        <v>112382</v>
      </c>
      <c r="N148" s="74">
        <f t="shared" si="55"/>
        <v>112382</v>
      </c>
    </row>
    <row r="149" spans="1:14" x14ac:dyDescent="0.2">
      <c r="A149" s="150">
        <v>140</v>
      </c>
      <c r="B149" s="158" t="s">
        <v>71</v>
      </c>
      <c r="C149" s="35" t="s">
        <v>383</v>
      </c>
      <c r="D149" s="112" t="s">
        <v>72</v>
      </c>
      <c r="E149" s="112"/>
      <c r="F149" s="108">
        <f>F150</f>
        <v>0</v>
      </c>
      <c r="G149" s="108">
        <f t="shared" si="60"/>
        <v>112.38200000000001</v>
      </c>
      <c r="H149" s="108">
        <f t="shared" si="60"/>
        <v>112.38200000000001</v>
      </c>
      <c r="I149" s="73">
        <f t="shared" si="57"/>
        <v>0</v>
      </c>
      <c r="J149" s="123">
        <f t="shared" si="58"/>
        <v>100</v>
      </c>
      <c r="L149" s="74">
        <f t="shared" si="53"/>
        <v>0</v>
      </c>
      <c r="M149" s="79">
        <f t="shared" si="54"/>
        <v>112382</v>
      </c>
      <c r="N149" s="74">
        <f t="shared" si="55"/>
        <v>112382</v>
      </c>
    </row>
    <row r="150" spans="1:14" ht="25.5" x14ac:dyDescent="0.2">
      <c r="A150" s="150">
        <v>141</v>
      </c>
      <c r="B150" s="158" t="s">
        <v>157</v>
      </c>
      <c r="C150" s="35" t="s">
        <v>383</v>
      </c>
      <c r="D150" s="112" t="s">
        <v>73</v>
      </c>
      <c r="E150" s="112"/>
      <c r="F150" s="108">
        <f>F151</f>
        <v>0</v>
      </c>
      <c r="G150" s="108">
        <f t="shared" si="60"/>
        <v>112.38200000000001</v>
      </c>
      <c r="H150" s="108">
        <f t="shared" si="60"/>
        <v>112.38200000000001</v>
      </c>
      <c r="I150" s="73">
        <f t="shared" si="57"/>
        <v>0</v>
      </c>
      <c r="J150" s="123">
        <f t="shared" si="58"/>
        <v>100</v>
      </c>
      <c r="L150" s="74">
        <f t="shared" si="53"/>
        <v>0</v>
      </c>
      <c r="M150" s="79">
        <f t="shared" si="54"/>
        <v>112382</v>
      </c>
      <c r="N150" s="74">
        <f t="shared" si="55"/>
        <v>112382</v>
      </c>
    </row>
    <row r="151" spans="1:14" x14ac:dyDescent="0.2">
      <c r="A151" s="150">
        <v>142</v>
      </c>
      <c r="B151" s="111" t="s">
        <v>152</v>
      </c>
      <c r="C151" s="35" t="s">
        <v>383</v>
      </c>
      <c r="D151" s="112" t="s">
        <v>73</v>
      </c>
      <c r="E151" s="112" t="s">
        <v>30</v>
      </c>
      <c r="F151" s="108">
        <f>F152</f>
        <v>0</v>
      </c>
      <c r="G151" s="108">
        <f t="shared" ref="G151:H151" si="61">G152</f>
        <v>112.38200000000001</v>
      </c>
      <c r="H151" s="108">
        <f t="shared" si="61"/>
        <v>112.38200000000001</v>
      </c>
      <c r="I151" s="73">
        <f t="shared" si="57"/>
        <v>0</v>
      </c>
      <c r="J151" s="123">
        <f t="shared" si="58"/>
        <v>100</v>
      </c>
      <c r="L151" s="74">
        <f t="shared" si="53"/>
        <v>0</v>
      </c>
      <c r="M151" s="79">
        <f t="shared" si="54"/>
        <v>112382</v>
      </c>
      <c r="N151" s="74">
        <f t="shared" si="55"/>
        <v>112382</v>
      </c>
    </row>
    <row r="152" spans="1:14" x14ac:dyDescent="0.2">
      <c r="A152" s="150">
        <v>143</v>
      </c>
      <c r="B152" s="113" t="s">
        <v>153</v>
      </c>
      <c r="C152" s="35" t="s">
        <v>383</v>
      </c>
      <c r="D152" s="112" t="s">
        <v>73</v>
      </c>
      <c r="E152" s="112" t="s">
        <v>31</v>
      </c>
      <c r="F152" s="108">
        <v>0</v>
      </c>
      <c r="G152" s="108">
        <v>112.38200000000001</v>
      </c>
      <c r="H152" s="108">
        <v>112.38200000000001</v>
      </c>
      <c r="I152" s="73">
        <f t="shared" si="57"/>
        <v>0</v>
      </c>
      <c r="J152" s="123">
        <f t="shared" si="58"/>
        <v>100</v>
      </c>
      <c r="L152" s="74">
        <f t="shared" si="53"/>
        <v>0</v>
      </c>
      <c r="M152" s="79">
        <f t="shared" si="54"/>
        <v>112382</v>
      </c>
      <c r="N152" s="74">
        <f t="shared" si="55"/>
        <v>112382</v>
      </c>
    </row>
    <row r="153" spans="1:14" ht="25.5" x14ac:dyDescent="0.2">
      <c r="A153" s="150">
        <v>144</v>
      </c>
      <c r="B153" s="107" t="s">
        <v>459</v>
      </c>
      <c r="C153" s="35" t="s">
        <v>460</v>
      </c>
      <c r="D153" s="112"/>
      <c r="E153" s="112"/>
      <c r="F153" s="108">
        <f>F154</f>
        <v>0</v>
      </c>
      <c r="G153" s="108">
        <f t="shared" ref="G153:G161" si="62">G154</f>
        <v>1764</v>
      </c>
      <c r="H153" s="108">
        <f t="shared" ref="H153:H161" si="63">H154</f>
        <v>1764</v>
      </c>
      <c r="I153" s="73">
        <f t="shared" si="57"/>
        <v>0</v>
      </c>
      <c r="J153" s="123">
        <f t="shared" si="58"/>
        <v>100</v>
      </c>
      <c r="L153" s="74">
        <f t="shared" si="53"/>
        <v>0</v>
      </c>
      <c r="M153" s="79">
        <f t="shared" si="54"/>
        <v>1764000</v>
      </c>
      <c r="N153" s="74">
        <f t="shared" si="55"/>
        <v>1764000</v>
      </c>
    </row>
    <row r="154" spans="1:14" ht="16.5" customHeight="1" x14ac:dyDescent="0.2">
      <c r="A154" s="150">
        <v>145</v>
      </c>
      <c r="B154" s="158" t="s">
        <v>71</v>
      </c>
      <c r="C154" s="35" t="s">
        <v>460</v>
      </c>
      <c r="D154" s="112" t="s">
        <v>72</v>
      </c>
      <c r="E154" s="112"/>
      <c r="F154" s="108">
        <f>F155</f>
        <v>0</v>
      </c>
      <c r="G154" s="108">
        <f t="shared" si="62"/>
        <v>1764</v>
      </c>
      <c r="H154" s="108">
        <f t="shared" si="63"/>
        <v>1764</v>
      </c>
      <c r="I154" s="73">
        <f t="shared" si="57"/>
        <v>0</v>
      </c>
      <c r="J154" s="123">
        <f t="shared" si="58"/>
        <v>100</v>
      </c>
      <c r="L154" s="74">
        <f t="shared" si="53"/>
        <v>0</v>
      </c>
      <c r="M154" s="79">
        <f t="shared" si="54"/>
        <v>1764000</v>
      </c>
      <c r="N154" s="74">
        <f t="shared" si="55"/>
        <v>1764000</v>
      </c>
    </row>
    <row r="155" spans="1:14" ht="25.5" x14ac:dyDescent="0.2">
      <c r="A155" s="150">
        <v>146</v>
      </c>
      <c r="B155" s="158" t="s">
        <v>157</v>
      </c>
      <c r="C155" s="35" t="s">
        <v>460</v>
      </c>
      <c r="D155" s="112" t="s">
        <v>73</v>
      </c>
      <c r="E155" s="112"/>
      <c r="F155" s="108">
        <f>F156</f>
        <v>0</v>
      </c>
      <c r="G155" s="108">
        <f t="shared" si="62"/>
        <v>1764</v>
      </c>
      <c r="H155" s="108">
        <f t="shared" si="63"/>
        <v>1764</v>
      </c>
      <c r="I155" s="73">
        <f t="shared" si="57"/>
        <v>0</v>
      </c>
      <c r="J155" s="123">
        <f t="shared" si="58"/>
        <v>100</v>
      </c>
      <c r="L155" s="74">
        <f t="shared" si="53"/>
        <v>0</v>
      </c>
      <c r="M155" s="79">
        <f t="shared" si="54"/>
        <v>1764000</v>
      </c>
      <c r="N155" s="74">
        <f t="shared" si="55"/>
        <v>1764000</v>
      </c>
    </row>
    <row r="156" spans="1:14" x14ac:dyDescent="0.2">
      <c r="A156" s="150">
        <v>147</v>
      </c>
      <c r="B156" s="111" t="s">
        <v>152</v>
      </c>
      <c r="C156" s="35" t="s">
        <v>460</v>
      </c>
      <c r="D156" s="112" t="s">
        <v>73</v>
      </c>
      <c r="E156" s="112" t="s">
        <v>30</v>
      </c>
      <c r="F156" s="108">
        <f>F157</f>
        <v>0</v>
      </c>
      <c r="G156" s="108">
        <f t="shared" si="62"/>
        <v>1764</v>
      </c>
      <c r="H156" s="108">
        <f t="shared" si="63"/>
        <v>1764</v>
      </c>
      <c r="I156" s="73">
        <f t="shared" si="57"/>
        <v>0</v>
      </c>
      <c r="J156" s="123">
        <f t="shared" si="58"/>
        <v>100</v>
      </c>
      <c r="L156" s="74">
        <f t="shared" si="53"/>
        <v>0</v>
      </c>
      <c r="M156" s="79">
        <f t="shared" si="54"/>
        <v>1764000</v>
      </c>
      <c r="N156" s="74">
        <f t="shared" si="55"/>
        <v>1764000</v>
      </c>
    </row>
    <row r="157" spans="1:14" x14ac:dyDescent="0.2">
      <c r="A157" s="150">
        <v>148</v>
      </c>
      <c r="B157" s="113" t="s">
        <v>153</v>
      </c>
      <c r="C157" s="35" t="s">
        <v>460</v>
      </c>
      <c r="D157" s="112" t="s">
        <v>73</v>
      </c>
      <c r="E157" s="112" t="s">
        <v>31</v>
      </c>
      <c r="F157" s="108">
        <v>0</v>
      </c>
      <c r="G157" s="108">
        <v>1764</v>
      </c>
      <c r="H157" s="108">
        <v>1764</v>
      </c>
      <c r="I157" s="73">
        <f t="shared" si="57"/>
        <v>0</v>
      </c>
      <c r="J157" s="123">
        <f t="shared" si="58"/>
        <v>100</v>
      </c>
      <c r="L157" s="74">
        <f t="shared" si="53"/>
        <v>0</v>
      </c>
      <c r="M157" s="79">
        <f t="shared" si="54"/>
        <v>1764000</v>
      </c>
      <c r="N157" s="74">
        <f t="shared" si="55"/>
        <v>1764000</v>
      </c>
    </row>
    <row r="158" spans="1:14" ht="25.5" x14ac:dyDescent="0.2">
      <c r="A158" s="150">
        <v>149</v>
      </c>
      <c r="B158" s="107" t="s">
        <v>459</v>
      </c>
      <c r="C158" s="35" t="s">
        <v>191</v>
      </c>
      <c r="D158" s="112"/>
      <c r="E158" s="112"/>
      <c r="F158" s="108">
        <f>F159</f>
        <v>0</v>
      </c>
      <c r="G158" s="108">
        <f t="shared" si="62"/>
        <v>117.3</v>
      </c>
      <c r="H158" s="108">
        <f t="shared" si="63"/>
        <v>117.3</v>
      </c>
      <c r="I158" s="73">
        <f t="shared" ref="I158:I162" si="64">G158-H158</f>
        <v>0</v>
      </c>
      <c r="J158" s="123">
        <f t="shared" ref="J158:J162" si="65">H158/G158*100</f>
        <v>100</v>
      </c>
      <c r="L158" s="74">
        <f t="shared" si="53"/>
        <v>0</v>
      </c>
      <c r="M158" s="79">
        <f t="shared" si="54"/>
        <v>117300</v>
      </c>
      <c r="N158" s="74">
        <f t="shared" si="55"/>
        <v>117300</v>
      </c>
    </row>
    <row r="159" spans="1:14" x14ac:dyDescent="0.2">
      <c r="A159" s="150">
        <v>150</v>
      </c>
      <c r="B159" s="158" t="s">
        <v>71</v>
      </c>
      <c r="C159" s="35" t="s">
        <v>191</v>
      </c>
      <c r="D159" s="112" t="s">
        <v>72</v>
      </c>
      <c r="E159" s="112"/>
      <c r="F159" s="108">
        <f>F160</f>
        <v>0</v>
      </c>
      <c r="G159" s="108">
        <f t="shared" si="62"/>
        <v>117.3</v>
      </c>
      <c r="H159" s="108">
        <f t="shared" si="63"/>
        <v>117.3</v>
      </c>
      <c r="I159" s="73">
        <f t="shared" si="64"/>
        <v>0</v>
      </c>
      <c r="J159" s="123">
        <f t="shared" si="65"/>
        <v>100</v>
      </c>
      <c r="L159" s="74">
        <f t="shared" si="53"/>
        <v>0</v>
      </c>
      <c r="M159" s="79">
        <f t="shared" si="54"/>
        <v>117300</v>
      </c>
      <c r="N159" s="74">
        <f t="shared" si="55"/>
        <v>117300</v>
      </c>
    </row>
    <row r="160" spans="1:14" ht="25.5" x14ac:dyDescent="0.2">
      <c r="A160" s="150">
        <v>151</v>
      </c>
      <c r="B160" s="158" t="s">
        <v>157</v>
      </c>
      <c r="C160" s="35" t="s">
        <v>191</v>
      </c>
      <c r="D160" s="112" t="s">
        <v>73</v>
      </c>
      <c r="E160" s="112"/>
      <c r="F160" s="108">
        <f>F161</f>
        <v>0</v>
      </c>
      <c r="G160" s="108">
        <f t="shared" si="62"/>
        <v>117.3</v>
      </c>
      <c r="H160" s="108">
        <f t="shared" si="63"/>
        <v>117.3</v>
      </c>
      <c r="I160" s="73">
        <f t="shared" si="64"/>
        <v>0</v>
      </c>
      <c r="J160" s="123">
        <f t="shared" si="65"/>
        <v>100</v>
      </c>
      <c r="L160" s="74">
        <f t="shared" si="53"/>
        <v>0</v>
      </c>
      <c r="M160" s="79">
        <f t="shared" si="54"/>
        <v>117300</v>
      </c>
      <c r="N160" s="74">
        <f t="shared" si="55"/>
        <v>117300</v>
      </c>
    </row>
    <row r="161" spans="1:14" x14ac:dyDescent="0.2">
      <c r="A161" s="150">
        <v>152</v>
      </c>
      <c r="B161" s="111" t="s">
        <v>152</v>
      </c>
      <c r="C161" s="35" t="s">
        <v>191</v>
      </c>
      <c r="D161" s="112" t="s">
        <v>73</v>
      </c>
      <c r="E161" s="112" t="s">
        <v>30</v>
      </c>
      <c r="F161" s="108">
        <f>F162</f>
        <v>0</v>
      </c>
      <c r="G161" s="108">
        <f t="shared" si="62"/>
        <v>117.3</v>
      </c>
      <c r="H161" s="108">
        <f t="shared" si="63"/>
        <v>117.3</v>
      </c>
      <c r="I161" s="73">
        <f t="shared" si="64"/>
        <v>0</v>
      </c>
      <c r="J161" s="123">
        <f t="shared" si="65"/>
        <v>100</v>
      </c>
      <c r="L161" s="74">
        <f t="shared" si="53"/>
        <v>0</v>
      </c>
      <c r="M161" s="79">
        <f t="shared" si="54"/>
        <v>117300</v>
      </c>
      <c r="N161" s="74">
        <f t="shared" si="55"/>
        <v>117300</v>
      </c>
    </row>
    <row r="162" spans="1:14" x14ac:dyDescent="0.2">
      <c r="A162" s="150">
        <v>153</v>
      </c>
      <c r="B162" s="111" t="s">
        <v>494</v>
      </c>
      <c r="C162" s="35" t="s">
        <v>191</v>
      </c>
      <c r="D162" s="112" t="s">
        <v>73</v>
      </c>
      <c r="E162" s="112" t="s">
        <v>107</v>
      </c>
      <c r="F162" s="108">
        <v>0</v>
      </c>
      <c r="G162" s="108">
        <v>117.3</v>
      </c>
      <c r="H162" s="108">
        <v>117.3</v>
      </c>
      <c r="I162" s="73">
        <f t="shared" si="64"/>
        <v>0</v>
      </c>
      <c r="J162" s="123">
        <f t="shared" si="65"/>
        <v>100</v>
      </c>
      <c r="L162" s="74">
        <f t="shared" si="53"/>
        <v>0</v>
      </c>
      <c r="M162" s="79">
        <f t="shared" si="54"/>
        <v>117300</v>
      </c>
      <c r="N162" s="74">
        <f t="shared" si="55"/>
        <v>117300</v>
      </c>
    </row>
    <row r="163" spans="1:14" ht="38.25" x14ac:dyDescent="0.2">
      <c r="A163" s="150">
        <v>154</v>
      </c>
      <c r="B163" s="71" t="s">
        <v>213</v>
      </c>
      <c r="C163" s="155" t="s">
        <v>214</v>
      </c>
      <c r="D163" s="57"/>
      <c r="E163" s="57"/>
      <c r="F163" s="156">
        <f>F164</f>
        <v>1</v>
      </c>
      <c r="G163" s="156">
        <f t="shared" ref="G163:H167" si="66">G164</f>
        <v>1</v>
      </c>
      <c r="H163" s="156">
        <f t="shared" si="66"/>
        <v>1</v>
      </c>
      <c r="I163" s="73">
        <f t="shared" si="57"/>
        <v>0</v>
      </c>
      <c r="J163" s="123">
        <f t="shared" si="58"/>
        <v>100</v>
      </c>
      <c r="L163" s="74">
        <f t="shared" si="53"/>
        <v>1000</v>
      </c>
      <c r="M163" s="79">
        <f t="shared" si="54"/>
        <v>1000</v>
      </c>
      <c r="N163" s="74">
        <f t="shared" si="55"/>
        <v>1000</v>
      </c>
    </row>
    <row r="164" spans="1:14" x14ac:dyDescent="0.2">
      <c r="A164" s="150">
        <v>155</v>
      </c>
      <c r="B164" s="154" t="s">
        <v>215</v>
      </c>
      <c r="C164" s="155">
        <v>6400080000</v>
      </c>
      <c r="D164" s="57"/>
      <c r="E164" s="57"/>
      <c r="F164" s="156">
        <f>F165</f>
        <v>1</v>
      </c>
      <c r="G164" s="156">
        <f t="shared" si="66"/>
        <v>1</v>
      </c>
      <c r="H164" s="156">
        <f t="shared" si="66"/>
        <v>1</v>
      </c>
      <c r="I164" s="73">
        <f t="shared" si="57"/>
        <v>0</v>
      </c>
      <c r="J164" s="123">
        <f t="shared" si="58"/>
        <v>100</v>
      </c>
      <c r="L164" s="74">
        <f t="shared" si="53"/>
        <v>1000</v>
      </c>
      <c r="M164" s="79">
        <f t="shared" si="54"/>
        <v>1000</v>
      </c>
      <c r="N164" s="74">
        <f t="shared" si="55"/>
        <v>1000</v>
      </c>
    </row>
    <row r="165" spans="1:14" ht="38.25" x14ac:dyDescent="0.2">
      <c r="A165" s="150">
        <v>156</v>
      </c>
      <c r="B165" s="154" t="s">
        <v>216</v>
      </c>
      <c r="C165" s="155">
        <v>6400087000</v>
      </c>
      <c r="D165" s="155">
        <v>500</v>
      </c>
      <c r="E165" s="57"/>
      <c r="F165" s="156">
        <f>F166</f>
        <v>1</v>
      </c>
      <c r="G165" s="156">
        <f t="shared" si="66"/>
        <v>1</v>
      </c>
      <c r="H165" s="156">
        <f t="shared" si="66"/>
        <v>1</v>
      </c>
      <c r="I165" s="73">
        <f t="shared" si="57"/>
        <v>0</v>
      </c>
      <c r="J165" s="123">
        <f t="shared" si="58"/>
        <v>100</v>
      </c>
      <c r="L165" s="74">
        <f t="shared" si="53"/>
        <v>1000</v>
      </c>
      <c r="M165" s="79">
        <f t="shared" si="54"/>
        <v>1000</v>
      </c>
      <c r="N165" s="74">
        <f t="shared" si="55"/>
        <v>1000</v>
      </c>
    </row>
    <row r="166" spans="1:14" x14ac:dyDescent="0.2">
      <c r="A166" s="150">
        <v>157</v>
      </c>
      <c r="B166" s="154" t="s">
        <v>217</v>
      </c>
      <c r="C166" s="155">
        <v>6400087000</v>
      </c>
      <c r="D166" s="155">
        <v>540</v>
      </c>
      <c r="E166" s="57"/>
      <c r="F166" s="156">
        <f>F167</f>
        <v>1</v>
      </c>
      <c r="G166" s="156">
        <f t="shared" si="66"/>
        <v>1</v>
      </c>
      <c r="H166" s="156">
        <f t="shared" si="66"/>
        <v>1</v>
      </c>
      <c r="I166" s="73">
        <f t="shared" si="57"/>
        <v>0</v>
      </c>
      <c r="J166" s="123">
        <f t="shared" si="58"/>
        <v>100</v>
      </c>
      <c r="L166" s="74">
        <f t="shared" si="53"/>
        <v>1000</v>
      </c>
      <c r="M166" s="79">
        <f t="shared" si="54"/>
        <v>1000</v>
      </c>
      <c r="N166" s="74">
        <f t="shared" si="55"/>
        <v>1000</v>
      </c>
    </row>
    <row r="167" spans="1:14" x14ac:dyDescent="0.2">
      <c r="A167" s="150">
        <v>158</v>
      </c>
      <c r="B167" s="161" t="s">
        <v>154</v>
      </c>
      <c r="C167" s="155">
        <v>6400087000</v>
      </c>
      <c r="D167" s="155">
        <v>540</v>
      </c>
      <c r="E167" s="57" t="s">
        <v>226</v>
      </c>
      <c r="F167" s="156">
        <f>F168</f>
        <v>1</v>
      </c>
      <c r="G167" s="156">
        <f t="shared" si="66"/>
        <v>1</v>
      </c>
      <c r="H167" s="156">
        <f t="shared" si="66"/>
        <v>1</v>
      </c>
      <c r="I167" s="73">
        <f t="shared" si="57"/>
        <v>0</v>
      </c>
      <c r="J167" s="123">
        <f t="shared" si="58"/>
        <v>100</v>
      </c>
      <c r="L167" s="74">
        <f t="shared" si="53"/>
        <v>1000</v>
      </c>
      <c r="M167" s="79">
        <f t="shared" si="54"/>
        <v>1000</v>
      </c>
      <c r="N167" s="74">
        <f t="shared" si="55"/>
        <v>1000</v>
      </c>
    </row>
    <row r="168" spans="1:14" x14ac:dyDescent="0.2">
      <c r="A168" s="150">
        <v>159</v>
      </c>
      <c r="B168" s="161" t="s">
        <v>212</v>
      </c>
      <c r="C168" s="155">
        <v>6400087000</v>
      </c>
      <c r="D168" s="57" t="s">
        <v>80</v>
      </c>
      <c r="E168" s="57" t="s">
        <v>28</v>
      </c>
      <c r="F168" s="156">
        <v>1</v>
      </c>
      <c r="G168" s="156">
        <v>1</v>
      </c>
      <c r="H168" s="156">
        <v>1</v>
      </c>
      <c r="I168" s="73">
        <f t="shared" si="57"/>
        <v>0</v>
      </c>
      <c r="J168" s="123">
        <f t="shared" si="58"/>
        <v>100</v>
      </c>
      <c r="L168" s="74">
        <f t="shared" si="53"/>
        <v>1000</v>
      </c>
      <c r="M168" s="79">
        <f t="shared" si="54"/>
        <v>1000</v>
      </c>
      <c r="N168" s="74">
        <f t="shared" si="55"/>
        <v>1000</v>
      </c>
    </row>
    <row r="169" spans="1:14" x14ac:dyDescent="0.2">
      <c r="A169" s="150">
        <v>160</v>
      </c>
      <c r="B169" s="65" t="s">
        <v>145</v>
      </c>
      <c r="C169" s="18">
        <v>6300000000</v>
      </c>
      <c r="D169" s="40"/>
      <c r="E169" s="40"/>
      <c r="F169" s="67">
        <f>F170</f>
        <v>60</v>
      </c>
      <c r="G169" s="156">
        <f t="shared" ref="G169:H178" si="67">G170</f>
        <v>60</v>
      </c>
      <c r="H169" s="156">
        <f t="shared" si="67"/>
        <v>59.56</v>
      </c>
      <c r="I169" s="73">
        <f t="shared" si="57"/>
        <v>0.43999999999999773</v>
      </c>
      <c r="J169" s="123">
        <f t="shared" si="58"/>
        <v>99.266666666666666</v>
      </c>
      <c r="L169" s="74">
        <f t="shared" si="53"/>
        <v>60000</v>
      </c>
      <c r="M169" s="79">
        <f t="shared" si="54"/>
        <v>60000</v>
      </c>
      <c r="N169" s="74">
        <f t="shared" si="55"/>
        <v>59560</v>
      </c>
    </row>
    <row r="170" spans="1:14" ht="25.5" x14ac:dyDescent="0.2">
      <c r="A170" s="150">
        <v>161</v>
      </c>
      <c r="B170" s="154" t="s">
        <v>237</v>
      </c>
      <c r="C170" s="155">
        <v>6300080000</v>
      </c>
      <c r="D170" s="57"/>
      <c r="E170" s="57"/>
      <c r="F170" s="67">
        <f t="shared" ref="F170:F171" si="68">F171</f>
        <v>60</v>
      </c>
      <c r="G170" s="156">
        <f t="shared" si="67"/>
        <v>60</v>
      </c>
      <c r="H170" s="156">
        <f t="shared" si="67"/>
        <v>59.56</v>
      </c>
      <c r="I170" s="73">
        <f t="shared" si="57"/>
        <v>0.43999999999999773</v>
      </c>
      <c r="J170" s="123">
        <f t="shared" si="58"/>
        <v>99.266666666666666</v>
      </c>
      <c r="L170" s="74">
        <f t="shared" si="53"/>
        <v>60000</v>
      </c>
      <c r="M170" s="79">
        <f t="shared" si="54"/>
        <v>60000</v>
      </c>
      <c r="N170" s="74">
        <f t="shared" si="55"/>
        <v>59560</v>
      </c>
    </row>
    <row r="171" spans="1:14" x14ac:dyDescent="0.2">
      <c r="A171" s="150">
        <v>162</v>
      </c>
      <c r="B171" s="154" t="s">
        <v>238</v>
      </c>
      <c r="C171" s="155">
        <v>6300080230</v>
      </c>
      <c r="D171" s="57" t="s">
        <v>192</v>
      </c>
      <c r="E171" s="57"/>
      <c r="F171" s="67">
        <f t="shared" si="68"/>
        <v>60</v>
      </c>
      <c r="G171" s="156">
        <f t="shared" si="67"/>
        <v>60</v>
      </c>
      <c r="H171" s="156">
        <f t="shared" si="67"/>
        <v>59.56</v>
      </c>
      <c r="I171" s="73">
        <f t="shared" si="57"/>
        <v>0.43999999999999773</v>
      </c>
      <c r="J171" s="123">
        <f t="shared" si="58"/>
        <v>99.266666666666666</v>
      </c>
      <c r="L171" s="74">
        <f t="shared" si="53"/>
        <v>60000</v>
      </c>
      <c r="M171" s="79">
        <f t="shared" si="54"/>
        <v>60000</v>
      </c>
      <c r="N171" s="74">
        <f t="shared" si="55"/>
        <v>59560</v>
      </c>
    </row>
    <row r="172" spans="1:14" x14ac:dyDescent="0.2">
      <c r="A172" s="150">
        <v>163</v>
      </c>
      <c r="B172" s="154" t="s">
        <v>239</v>
      </c>
      <c r="C172" s="155">
        <v>6300080230</v>
      </c>
      <c r="D172" s="57" t="s">
        <v>49</v>
      </c>
      <c r="E172" s="57"/>
      <c r="F172" s="67">
        <f>F173</f>
        <v>60</v>
      </c>
      <c r="G172" s="67">
        <f t="shared" si="67"/>
        <v>60</v>
      </c>
      <c r="H172" s="67">
        <f t="shared" si="67"/>
        <v>59.56</v>
      </c>
      <c r="I172" s="73">
        <f t="shared" si="57"/>
        <v>0.43999999999999773</v>
      </c>
      <c r="J172" s="123">
        <f t="shared" si="58"/>
        <v>99.266666666666666</v>
      </c>
      <c r="L172" s="74">
        <f t="shared" si="53"/>
        <v>60000</v>
      </c>
      <c r="M172" s="79">
        <f t="shared" si="54"/>
        <v>60000</v>
      </c>
      <c r="N172" s="74">
        <f t="shared" si="55"/>
        <v>59560</v>
      </c>
    </row>
    <row r="173" spans="1:14" x14ac:dyDescent="0.2">
      <c r="A173" s="150">
        <v>164</v>
      </c>
      <c r="B173" s="58" t="s">
        <v>240</v>
      </c>
      <c r="C173" s="155">
        <v>6300080230</v>
      </c>
      <c r="D173" s="57" t="s">
        <v>49</v>
      </c>
      <c r="E173" s="57" t="s">
        <v>124</v>
      </c>
      <c r="F173" s="67">
        <f>F174</f>
        <v>60</v>
      </c>
      <c r="G173" s="156">
        <f t="shared" si="67"/>
        <v>60</v>
      </c>
      <c r="H173" s="156">
        <f t="shared" si="67"/>
        <v>59.56</v>
      </c>
      <c r="I173" s="73">
        <f t="shared" si="57"/>
        <v>0.43999999999999773</v>
      </c>
      <c r="J173" s="123">
        <f t="shared" si="58"/>
        <v>99.266666666666666</v>
      </c>
      <c r="L173" s="74">
        <f t="shared" si="53"/>
        <v>60000</v>
      </c>
      <c r="M173" s="79">
        <f t="shared" si="54"/>
        <v>60000</v>
      </c>
      <c r="N173" s="74">
        <f t="shared" si="55"/>
        <v>59560</v>
      </c>
    </row>
    <row r="174" spans="1:14" x14ac:dyDescent="0.2">
      <c r="A174" s="150">
        <v>165</v>
      </c>
      <c r="B174" s="154" t="s">
        <v>241</v>
      </c>
      <c r="C174" s="155">
        <v>6300080230</v>
      </c>
      <c r="D174" s="57" t="s">
        <v>49</v>
      </c>
      <c r="E174" s="57" t="s">
        <v>242</v>
      </c>
      <c r="F174" s="67">
        <v>60</v>
      </c>
      <c r="G174" s="156">
        <v>60</v>
      </c>
      <c r="H174" s="156">
        <v>59.56</v>
      </c>
      <c r="I174" s="73">
        <f t="shared" si="57"/>
        <v>0.43999999999999773</v>
      </c>
      <c r="J174" s="123">
        <f t="shared" si="58"/>
        <v>99.266666666666666</v>
      </c>
      <c r="L174" s="74">
        <f t="shared" si="53"/>
        <v>60000</v>
      </c>
      <c r="M174" s="79">
        <f t="shared" si="54"/>
        <v>60000</v>
      </c>
      <c r="N174" s="74">
        <f t="shared" si="55"/>
        <v>59560</v>
      </c>
    </row>
    <row r="175" spans="1:14" x14ac:dyDescent="0.2">
      <c r="A175" s="150">
        <v>166</v>
      </c>
      <c r="B175" s="65" t="s">
        <v>145</v>
      </c>
      <c r="C175" s="18">
        <v>6300000000</v>
      </c>
      <c r="D175" s="40"/>
      <c r="E175" s="40"/>
      <c r="F175" s="67">
        <f>F176</f>
        <v>0</v>
      </c>
      <c r="G175" s="67">
        <f t="shared" ref="G175:H175" si="69">G176</f>
        <v>70</v>
      </c>
      <c r="H175" s="67">
        <f t="shared" si="69"/>
        <v>70</v>
      </c>
      <c r="I175" s="73">
        <f t="shared" si="57"/>
        <v>0</v>
      </c>
      <c r="J175" s="123">
        <v>0</v>
      </c>
      <c r="L175" s="74">
        <f t="shared" si="53"/>
        <v>0</v>
      </c>
      <c r="M175" s="79">
        <f t="shared" si="54"/>
        <v>70000</v>
      </c>
      <c r="N175" s="74">
        <f t="shared" si="55"/>
        <v>70000</v>
      </c>
    </row>
    <row r="176" spans="1:14" x14ac:dyDescent="0.2">
      <c r="A176" s="150">
        <v>167</v>
      </c>
      <c r="B176" s="154" t="s">
        <v>392</v>
      </c>
      <c r="C176" s="155">
        <v>6400091190</v>
      </c>
      <c r="D176" s="57" t="s">
        <v>192</v>
      </c>
      <c r="E176" s="57"/>
      <c r="F176" s="67">
        <f t="shared" ref="F176" si="70">F177</f>
        <v>0</v>
      </c>
      <c r="G176" s="156">
        <f t="shared" si="67"/>
        <v>70</v>
      </c>
      <c r="H176" s="156">
        <f t="shared" si="67"/>
        <v>70</v>
      </c>
      <c r="I176" s="73">
        <f t="shared" si="57"/>
        <v>0</v>
      </c>
      <c r="J176" s="123">
        <v>0</v>
      </c>
      <c r="L176" s="74">
        <f t="shared" si="53"/>
        <v>0</v>
      </c>
      <c r="M176" s="79">
        <f t="shared" si="54"/>
        <v>70000</v>
      </c>
      <c r="N176" s="74">
        <f t="shared" si="55"/>
        <v>70000</v>
      </c>
    </row>
    <row r="177" spans="1:14" x14ac:dyDescent="0.2">
      <c r="A177" s="150">
        <v>168</v>
      </c>
      <c r="B177" s="154" t="s">
        <v>189</v>
      </c>
      <c r="C177" s="155">
        <v>6400091190</v>
      </c>
      <c r="D177" s="57" t="s">
        <v>391</v>
      </c>
      <c r="E177" s="57"/>
      <c r="F177" s="67">
        <f>F178</f>
        <v>0</v>
      </c>
      <c r="G177" s="67">
        <f t="shared" si="67"/>
        <v>70</v>
      </c>
      <c r="H177" s="67">
        <f t="shared" si="67"/>
        <v>70</v>
      </c>
      <c r="I177" s="73">
        <f t="shared" ref="I177:I179" si="71">G177-H177</f>
        <v>0</v>
      </c>
      <c r="J177" s="123">
        <v>0</v>
      </c>
      <c r="L177" s="74">
        <f t="shared" si="53"/>
        <v>0</v>
      </c>
      <c r="M177" s="79">
        <f t="shared" si="54"/>
        <v>70000</v>
      </c>
      <c r="N177" s="74">
        <f t="shared" si="55"/>
        <v>70000</v>
      </c>
    </row>
    <row r="178" spans="1:14" x14ac:dyDescent="0.2">
      <c r="A178" s="150">
        <v>169</v>
      </c>
      <c r="B178" s="58" t="s">
        <v>240</v>
      </c>
      <c r="C178" s="155">
        <v>6400091190</v>
      </c>
      <c r="D178" s="57" t="s">
        <v>391</v>
      </c>
      <c r="E178" s="57" t="s">
        <v>124</v>
      </c>
      <c r="F178" s="67">
        <f>F179</f>
        <v>0</v>
      </c>
      <c r="G178" s="156">
        <f t="shared" si="67"/>
        <v>70</v>
      </c>
      <c r="H178" s="156">
        <f t="shared" si="67"/>
        <v>70</v>
      </c>
      <c r="I178" s="73">
        <f t="shared" si="71"/>
        <v>0</v>
      </c>
      <c r="J178" s="123">
        <v>0</v>
      </c>
      <c r="L178" s="74">
        <f t="shared" si="53"/>
        <v>0</v>
      </c>
      <c r="M178" s="79">
        <f t="shared" si="54"/>
        <v>70000</v>
      </c>
      <c r="N178" s="74">
        <f t="shared" si="55"/>
        <v>70000</v>
      </c>
    </row>
    <row r="179" spans="1:14" ht="13.5" thickBot="1" x14ac:dyDescent="0.25">
      <c r="A179" s="150">
        <v>170</v>
      </c>
      <c r="B179" s="183" t="s">
        <v>389</v>
      </c>
      <c r="C179" s="184">
        <v>6400091190</v>
      </c>
      <c r="D179" s="185" t="s">
        <v>391</v>
      </c>
      <c r="E179" s="185" t="s">
        <v>390</v>
      </c>
      <c r="F179" s="186">
        <v>0</v>
      </c>
      <c r="G179" s="187">
        <v>70</v>
      </c>
      <c r="H179" s="187">
        <v>70</v>
      </c>
      <c r="I179" s="73">
        <f t="shared" si="71"/>
        <v>0</v>
      </c>
      <c r="J179" s="123">
        <v>0</v>
      </c>
      <c r="L179" s="74">
        <f t="shared" si="53"/>
        <v>0</v>
      </c>
      <c r="M179" s="79">
        <f t="shared" si="54"/>
        <v>70000</v>
      </c>
      <c r="N179" s="74">
        <f t="shared" si="55"/>
        <v>70000</v>
      </c>
    </row>
    <row r="180" spans="1:14" ht="13.5" thickBot="1" x14ac:dyDescent="0.25">
      <c r="A180" s="307" t="s">
        <v>289</v>
      </c>
      <c r="B180" s="308"/>
      <c r="C180" s="308"/>
      <c r="D180" s="308"/>
      <c r="E180" s="309"/>
      <c r="F180" s="188">
        <f>F97+F61+F51+F41+F10+F119+F163+F169+F91+F129+F30+F135+F142+F175+F37</f>
        <v>10954.556</v>
      </c>
      <c r="G180" s="188">
        <f>G97+G61+G51+G41+G10+G119+G163+G169+G91+G129+G30+G135+G142+G175+G37</f>
        <v>16154.158950000001</v>
      </c>
      <c r="H180" s="188">
        <f>H97+H61+H51+H41+H10+H119+H163+H169+H91+H129+H30+H135+H142+H175+H37</f>
        <v>14523.054489999999</v>
      </c>
      <c r="I180" s="188">
        <f>I97+I61+I51+I41+I10+I119+I163+I169+I91+I129+I30+I135+I142</f>
        <v>1631.1044600000007</v>
      </c>
      <c r="J180" s="189">
        <f t="shared" ref="J180" si="72">H180/G180*100</f>
        <v>89.902882192452353</v>
      </c>
    </row>
    <row r="182" spans="1:14" x14ac:dyDescent="0.2">
      <c r="F182" s="20"/>
      <c r="G182" s="20"/>
      <c r="H182" s="20"/>
      <c r="I182" s="20"/>
    </row>
    <row r="184" spans="1:14" x14ac:dyDescent="0.2">
      <c r="F184" s="20">
        <f>F180*1000</f>
        <v>10954556</v>
      </c>
      <c r="G184" s="20">
        <f t="shared" ref="G184:H184" si="73">G180*1000</f>
        <v>16154158.950000001</v>
      </c>
      <c r="H184" s="20">
        <f t="shared" si="73"/>
        <v>14523054.489999998</v>
      </c>
      <c r="I184" s="20"/>
    </row>
    <row r="186" spans="1:14" x14ac:dyDescent="0.2">
      <c r="F186" s="20">
        <f>F184-Пр.3!K58</f>
        <v>0</v>
      </c>
      <c r="G186" s="20">
        <f>G184-16154158.95</f>
        <v>0</v>
      </c>
      <c r="H186" s="20">
        <f>H184-14523054.49</f>
        <v>0</v>
      </c>
      <c r="I186" s="20"/>
    </row>
    <row r="188" spans="1:14" x14ac:dyDescent="0.2">
      <c r="F188" s="20"/>
    </row>
  </sheetData>
  <mergeCells count="5">
    <mergeCell ref="E1:J1"/>
    <mergeCell ref="A2:J2"/>
    <mergeCell ref="A5:J5"/>
    <mergeCell ref="D3:K3"/>
    <mergeCell ref="A180:E180"/>
  </mergeCells>
  <pageMargins left="0.39370078740157483" right="7.874015748031496E-2" top="0.19685039370078741" bottom="0.19685039370078741" header="0.15748031496062992" footer="0.15748031496062992"/>
  <pageSetup paperSize="9" scale="55" orientation="portrait" horizontalDpi="300" verticalDpi="300" r:id="rId1"/>
  <rowBreaks count="1" manualBreakCount="1">
    <brk id="6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69"/>
  <sheetViews>
    <sheetView topLeftCell="B1" zoomScaleNormal="100" zoomScaleSheetLayoutView="80" workbookViewId="0">
      <selection activeCell="E3" sqref="E3:K3"/>
    </sheetView>
  </sheetViews>
  <sheetFormatPr defaultRowHeight="15.75" x14ac:dyDescent="0.25"/>
  <cols>
    <col min="1" max="1" width="6.85546875" style="1" customWidth="1"/>
    <col min="2" max="2" width="58.140625" style="7" customWidth="1"/>
    <col min="3" max="3" width="9.85546875" style="7" customWidth="1"/>
    <col min="4" max="4" width="9.85546875" style="5" customWidth="1"/>
    <col min="5" max="5" width="12.85546875" style="1" customWidth="1"/>
    <col min="6" max="6" width="8.7109375" style="8" customWidth="1"/>
    <col min="7" max="7" width="7.28515625" style="1" customWidth="1"/>
    <col min="8" max="8" width="16.28515625" style="1" customWidth="1"/>
    <col min="9" max="9" width="13.85546875" style="1" customWidth="1"/>
    <col min="10" max="10" width="13" style="1" customWidth="1"/>
    <col min="11" max="11" width="11.28515625" style="1" customWidth="1"/>
    <col min="12" max="12" width="10.7109375" style="1" customWidth="1"/>
    <col min="13" max="13" width="11.85546875" style="1" bestFit="1" customWidth="1"/>
    <col min="14" max="14" width="11.5703125" style="1" customWidth="1"/>
    <col min="15" max="15" width="13" style="1" customWidth="1"/>
    <col min="16" max="16" width="10" style="1" bestFit="1" customWidth="1"/>
    <col min="17" max="16384" width="9.140625" style="1"/>
  </cols>
  <sheetData>
    <row r="1" spans="1:15" ht="19.5" customHeight="1" x14ac:dyDescent="0.25">
      <c r="A1" s="4"/>
      <c r="B1" s="14"/>
      <c r="C1" s="8"/>
      <c r="D1" s="8"/>
      <c r="E1" s="8"/>
      <c r="F1" s="304" t="s">
        <v>470</v>
      </c>
      <c r="G1" s="304"/>
      <c r="H1" s="304"/>
      <c r="I1" s="305"/>
      <c r="J1" s="305"/>
      <c r="K1" s="305"/>
      <c r="L1" s="2"/>
      <c r="M1" s="2"/>
      <c r="N1" s="2"/>
    </row>
    <row r="2" spans="1:15" ht="15" customHeight="1" x14ac:dyDescent="0.25">
      <c r="A2" s="4"/>
      <c r="B2" s="287" t="s">
        <v>418</v>
      </c>
      <c r="C2" s="287"/>
      <c r="D2" s="287"/>
      <c r="E2" s="287"/>
      <c r="F2" s="287"/>
      <c r="G2" s="287"/>
      <c r="H2" s="287"/>
      <c r="I2" s="288"/>
      <c r="J2" s="288"/>
      <c r="K2" s="288"/>
      <c r="L2" s="2"/>
      <c r="M2" s="2"/>
      <c r="N2" s="2"/>
    </row>
    <row r="3" spans="1:15" ht="15.75" customHeight="1" x14ac:dyDescent="0.25">
      <c r="A3" s="4"/>
      <c r="B3" s="15"/>
      <c r="C3" s="139"/>
      <c r="D3" s="139"/>
      <c r="E3" s="305" t="s">
        <v>517</v>
      </c>
      <c r="F3" s="305"/>
      <c r="G3" s="305"/>
      <c r="H3" s="305"/>
      <c r="I3" s="305"/>
      <c r="J3" s="305"/>
      <c r="K3" s="305"/>
      <c r="L3" s="2"/>
      <c r="M3" s="2"/>
      <c r="N3" s="2"/>
    </row>
    <row r="4" spans="1:15" ht="15.75" customHeight="1" x14ac:dyDescent="0.25">
      <c r="A4" s="4"/>
      <c r="B4" s="9"/>
      <c r="C4" s="9"/>
      <c r="D4" s="10"/>
      <c r="E4" s="4"/>
      <c r="F4" s="11"/>
      <c r="G4" s="4"/>
      <c r="H4" s="4"/>
      <c r="I4" s="4"/>
      <c r="J4" s="4"/>
      <c r="K4" s="4"/>
    </row>
    <row r="5" spans="1:15" ht="20.25" customHeight="1" x14ac:dyDescent="0.3">
      <c r="A5" s="259" t="s">
        <v>504</v>
      </c>
      <c r="B5" s="259"/>
      <c r="C5" s="259"/>
      <c r="D5" s="259"/>
      <c r="E5" s="313"/>
      <c r="F5" s="313"/>
      <c r="G5" s="313"/>
      <c r="H5" s="313"/>
      <c r="I5" s="313"/>
      <c r="J5" s="313"/>
      <c r="K5" s="313"/>
    </row>
    <row r="6" spans="1:15" ht="16.5" thickBot="1" x14ac:dyDescent="0.3">
      <c r="A6" s="286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314"/>
      <c r="M6" s="314"/>
      <c r="N6" s="314"/>
    </row>
    <row r="7" spans="1:15" ht="91.5" customHeight="1" thickBot="1" x14ac:dyDescent="0.25">
      <c r="A7" s="30" t="s">
        <v>53</v>
      </c>
      <c r="B7" s="31" t="s">
        <v>13</v>
      </c>
      <c r="C7" s="31" t="s">
        <v>23</v>
      </c>
      <c r="D7" s="31" t="s">
        <v>14</v>
      </c>
      <c r="E7" s="31" t="s">
        <v>15</v>
      </c>
      <c r="F7" s="31" t="s">
        <v>16</v>
      </c>
      <c r="G7" s="31" t="s">
        <v>36</v>
      </c>
      <c r="H7" s="162" t="s">
        <v>435</v>
      </c>
      <c r="I7" s="88" t="s">
        <v>502</v>
      </c>
      <c r="J7" s="163" t="s">
        <v>503</v>
      </c>
      <c r="K7" s="89" t="s">
        <v>278</v>
      </c>
      <c r="L7" s="6"/>
      <c r="M7" s="4"/>
    </row>
    <row r="8" spans="1:15" ht="13.5" thickBot="1" x14ac:dyDescent="0.25">
      <c r="A8" s="214">
        <v>1</v>
      </c>
      <c r="B8" s="215">
        <v>2</v>
      </c>
      <c r="C8" s="215">
        <v>3</v>
      </c>
      <c r="D8" s="215">
        <v>4</v>
      </c>
      <c r="E8" s="215">
        <v>5</v>
      </c>
      <c r="F8" s="215">
        <v>6</v>
      </c>
      <c r="G8" s="215">
        <v>7</v>
      </c>
      <c r="H8" s="215">
        <v>8</v>
      </c>
      <c r="I8" s="215">
        <v>9</v>
      </c>
      <c r="J8" s="215">
        <v>10</v>
      </c>
      <c r="K8" s="220">
        <v>11</v>
      </c>
      <c r="L8" s="6"/>
      <c r="M8" s="4"/>
    </row>
    <row r="9" spans="1:15" ht="13.5" x14ac:dyDescent="0.2">
      <c r="A9" s="217">
        <v>1</v>
      </c>
      <c r="B9" s="53" t="s">
        <v>8</v>
      </c>
      <c r="C9" s="54">
        <v>807</v>
      </c>
      <c r="D9" s="55"/>
      <c r="E9" s="55"/>
      <c r="F9" s="55"/>
      <c r="G9" s="56"/>
      <c r="H9" s="238">
        <f>H10+H77+H102+H115+H88</f>
        <v>10893.555999999999</v>
      </c>
      <c r="I9" s="238">
        <f>I10+I77+I102+I115+I88</f>
        <v>16023.158950000001</v>
      </c>
      <c r="J9" s="238">
        <f>J10+J77+J102+J115+J88</f>
        <v>14392.494490000001</v>
      </c>
      <c r="K9" s="164">
        <f>J9/I9*100</f>
        <v>89.823077552382387</v>
      </c>
      <c r="L9" s="12"/>
      <c r="M9" s="13"/>
      <c r="N9" s="3"/>
    </row>
    <row r="10" spans="1:15" s="3" customFormat="1" ht="12.75" x14ac:dyDescent="0.2">
      <c r="A10" s="32">
        <v>2</v>
      </c>
      <c r="B10" s="41" t="s">
        <v>17</v>
      </c>
      <c r="C10" s="33">
        <v>807</v>
      </c>
      <c r="D10" s="34" t="s">
        <v>24</v>
      </c>
      <c r="E10" s="34"/>
      <c r="F10" s="34"/>
      <c r="G10" s="35"/>
      <c r="H10" s="239">
        <f>H11+H20+H27+H58+H74+H52</f>
        <v>8592.2649999999994</v>
      </c>
      <c r="I10" s="239">
        <f t="shared" ref="I10:J10" si="0">I11+I20+I27+I58+I74+I52</f>
        <v>9874.9610000000011</v>
      </c>
      <c r="J10" s="239">
        <f t="shared" si="0"/>
        <v>9535.4368200000008</v>
      </c>
      <c r="K10" s="165">
        <f>J10/I10*100</f>
        <v>96.561766876851465</v>
      </c>
      <c r="L10" s="1"/>
      <c r="M10" s="1"/>
      <c r="N10" s="1"/>
    </row>
    <row r="11" spans="1:15" ht="25.5" x14ac:dyDescent="0.2">
      <c r="A11" s="32">
        <v>3</v>
      </c>
      <c r="B11" s="42" t="s">
        <v>18</v>
      </c>
      <c r="C11" s="33">
        <v>807</v>
      </c>
      <c r="D11" s="35" t="s">
        <v>25</v>
      </c>
      <c r="E11" s="35"/>
      <c r="F11" s="35"/>
      <c r="G11" s="35"/>
      <c r="H11" s="239">
        <f>H12</f>
        <v>948.13983000000007</v>
      </c>
      <c r="I11" s="239">
        <f t="shared" ref="I11:J12" si="1">I12</f>
        <v>998.58724000000007</v>
      </c>
      <c r="J11" s="239">
        <f t="shared" si="1"/>
        <v>994.68724000000009</v>
      </c>
      <c r="K11" s="165">
        <f t="shared" ref="K11:K90" si="2">J11/I11*100</f>
        <v>99.609448244101344</v>
      </c>
      <c r="M11" s="20">
        <f>H11*1000</f>
        <v>948139.83000000007</v>
      </c>
      <c r="N11" s="20">
        <f>I11*1000</f>
        <v>998587.24000000011</v>
      </c>
    </row>
    <row r="12" spans="1:15" ht="12.75" x14ac:dyDescent="0.2">
      <c r="A12" s="32">
        <v>4</v>
      </c>
      <c r="B12" s="219" t="s">
        <v>140</v>
      </c>
      <c r="C12" s="33">
        <v>807</v>
      </c>
      <c r="D12" s="35" t="s">
        <v>25</v>
      </c>
      <c r="E12" s="35" t="s">
        <v>271</v>
      </c>
      <c r="F12" s="35"/>
      <c r="G12" s="35"/>
      <c r="H12" s="239">
        <f>H13</f>
        <v>948.13983000000007</v>
      </c>
      <c r="I12" s="239">
        <f t="shared" si="1"/>
        <v>998.58724000000007</v>
      </c>
      <c r="J12" s="239">
        <f t="shared" si="1"/>
        <v>994.68724000000009</v>
      </c>
      <c r="K12" s="165">
        <f t="shared" si="2"/>
        <v>99.609448244101344</v>
      </c>
      <c r="M12" s="20">
        <f t="shared" ref="M12:N12" si="3">H12*1000</f>
        <v>948139.83000000007</v>
      </c>
      <c r="N12" s="20">
        <f t="shared" si="3"/>
        <v>998587.24000000011</v>
      </c>
      <c r="O12" s="20">
        <f>J12*1000</f>
        <v>994687.24000000011</v>
      </c>
    </row>
    <row r="13" spans="1:15" ht="25.5" x14ac:dyDescent="0.2">
      <c r="A13" s="32">
        <v>5</v>
      </c>
      <c r="B13" s="219" t="s">
        <v>141</v>
      </c>
      <c r="C13" s="80">
        <v>807</v>
      </c>
      <c r="D13" s="35" t="s">
        <v>25</v>
      </c>
      <c r="E13" s="35" t="s">
        <v>271</v>
      </c>
      <c r="F13" s="35" t="s">
        <v>74</v>
      </c>
      <c r="G13" s="35"/>
      <c r="H13" s="239">
        <f>SUM(H14:H19)</f>
        <v>948.13983000000007</v>
      </c>
      <c r="I13" s="239">
        <f>SUM(I14:I19)</f>
        <v>998.58724000000007</v>
      </c>
      <c r="J13" s="239">
        <f t="shared" ref="J13" si="4">SUM(J14:J19)</f>
        <v>994.68724000000009</v>
      </c>
      <c r="K13" s="165">
        <f t="shared" si="2"/>
        <v>99.609448244101344</v>
      </c>
      <c r="M13" s="20">
        <f t="shared" ref="M13:M76" si="5">H13*1000</f>
        <v>948139.83000000007</v>
      </c>
      <c r="N13" s="20">
        <f t="shared" ref="N13:N76" si="6">I13*1000</f>
        <v>998587.24000000011</v>
      </c>
      <c r="O13" s="20">
        <f t="shared" ref="O13:O76" si="7">J13*1000</f>
        <v>994687.24000000011</v>
      </c>
    </row>
    <row r="14" spans="1:15" ht="12.75" x14ac:dyDescent="0.2">
      <c r="A14" s="32">
        <v>6</v>
      </c>
      <c r="B14" s="219" t="s">
        <v>32</v>
      </c>
      <c r="C14" s="80">
        <v>807</v>
      </c>
      <c r="D14" s="35" t="s">
        <v>25</v>
      </c>
      <c r="E14" s="35" t="s">
        <v>168</v>
      </c>
      <c r="F14" s="35" t="s">
        <v>67</v>
      </c>
      <c r="G14" s="35" t="s">
        <v>37</v>
      </c>
      <c r="H14" s="239">
        <f>722.0736</f>
        <v>722.07360000000006</v>
      </c>
      <c r="I14" s="239">
        <f>722.0736</f>
        <v>722.07360000000006</v>
      </c>
      <c r="J14" s="239">
        <v>722.07360000000006</v>
      </c>
      <c r="K14" s="165">
        <f t="shared" si="2"/>
        <v>100</v>
      </c>
      <c r="M14" s="20">
        <f t="shared" si="5"/>
        <v>722073.60000000009</v>
      </c>
      <c r="N14" s="20">
        <f t="shared" si="6"/>
        <v>722073.60000000009</v>
      </c>
      <c r="O14" s="20">
        <f t="shared" si="7"/>
        <v>722073.60000000009</v>
      </c>
    </row>
    <row r="15" spans="1:15" ht="12.75" x14ac:dyDescent="0.2">
      <c r="A15" s="32">
        <v>7</v>
      </c>
      <c r="B15" s="219" t="s">
        <v>39</v>
      </c>
      <c r="C15" s="36">
        <v>807</v>
      </c>
      <c r="D15" s="35" t="s">
        <v>25</v>
      </c>
      <c r="E15" s="35" t="s">
        <v>168</v>
      </c>
      <c r="F15" s="35" t="s">
        <v>172</v>
      </c>
      <c r="G15" s="35" t="s">
        <v>38</v>
      </c>
      <c r="H15" s="239">
        <f>218.06623</f>
        <v>218.06622999999999</v>
      </c>
      <c r="I15" s="239">
        <f>218.06623</f>
        <v>218.06622999999999</v>
      </c>
      <c r="J15" s="239">
        <f>218.06623</f>
        <v>218.06622999999999</v>
      </c>
      <c r="K15" s="165">
        <f t="shared" si="2"/>
        <v>100</v>
      </c>
      <c r="M15" s="20">
        <f t="shared" si="5"/>
        <v>218066.22999999998</v>
      </c>
      <c r="N15" s="20">
        <f t="shared" si="6"/>
        <v>218066.22999999998</v>
      </c>
      <c r="O15" s="20">
        <f t="shared" si="7"/>
        <v>218066.22999999998</v>
      </c>
    </row>
    <row r="16" spans="1:15" ht="12.75" x14ac:dyDescent="0.2">
      <c r="A16" s="32">
        <v>8</v>
      </c>
      <c r="B16" s="219" t="s">
        <v>32</v>
      </c>
      <c r="C16" s="80">
        <v>807</v>
      </c>
      <c r="D16" s="35" t="s">
        <v>25</v>
      </c>
      <c r="E16" s="35" t="s">
        <v>452</v>
      </c>
      <c r="F16" s="35" t="s">
        <v>67</v>
      </c>
      <c r="G16" s="35" t="s">
        <v>37</v>
      </c>
      <c r="H16" s="239">
        <v>0</v>
      </c>
      <c r="I16" s="239">
        <v>31.0656</v>
      </c>
      <c r="J16" s="239">
        <v>31.0656</v>
      </c>
      <c r="K16" s="165">
        <f t="shared" si="2"/>
        <v>100</v>
      </c>
      <c r="M16" s="20">
        <f t="shared" si="5"/>
        <v>0</v>
      </c>
      <c r="N16" s="20">
        <f t="shared" si="6"/>
        <v>31065.599999999999</v>
      </c>
      <c r="O16" s="20">
        <f t="shared" si="7"/>
        <v>31065.599999999999</v>
      </c>
    </row>
    <row r="17" spans="1:16" ht="12.75" x14ac:dyDescent="0.2">
      <c r="A17" s="32">
        <v>9</v>
      </c>
      <c r="B17" s="219" t="s">
        <v>39</v>
      </c>
      <c r="C17" s="36">
        <v>807</v>
      </c>
      <c r="D17" s="35" t="s">
        <v>25</v>
      </c>
      <c r="E17" s="35" t="s">
        <v>452</v>
      </c>
      <c r="F17" s="35" t="s">
        <v>172</v>
      </c>
      <c r="G17" s="35" t="s">
        <v>38</v>
      </c>
      <c r="H17" s="239">
        <v>0</v>
      </c>
      <c r="I17" s="239">
        <v>9.3818099999999998</v>
      </c>
      <c r="J17" s="239">
        <v>9.3818099999999998</v>
      </c>
      <c r="K17" s="165">
        <f t="shared" si="2"/>
        <v>100</v>
      </c>
      <c r="M17" s="20">
        <f t="shared" si="5"/>
        <v>0</v>
      </c>
      <c r="N17" s="20">
        <f t="shared" si="6"/>
        <v>9381.81</v>
      </c>
      <c r="O17" s="20">
        <f t="shared" si="7"/>
        <v>9381.81</v>
      </c>
    </row>
    <row r="18" spans="1:16" ht="12.75" x14ac:dyDescent="0.2">
      <c r="A18" s="32">
        <v>10</v>
      </c>
      <c r="B18" s="219" t="s">
        <v>384</v>
      </c>
      <c r="C18" s="36">
        <v>807</v>
      </c>
      <c r="D18" s="35" t="s">
        <v>25</v>
      </c>
      <c r="E18" s="35" t="s">
        <v>168</v>
      </c>
      <c r="F18" s="35" t="s">
        <v>177</v>
      </c>
      <c r="G18" s="35" t="s">
        <v>386</v>
      </c>
      <c r="H18" s="239">
        <v>3</v>
      </c>
      <c r="I18" s="239">
        <v>6</v>
      </c>
      <c r="J18" s="239">
        <v>3.5</v>
      </c>
      <c r="K18" s="165">
        <f t="shared" si="2"/>
        <v>58.333333333333336</v>
      </c>
      <c r="M18" s="20">
        <f t="shared" si="5"/>
        <v>3000</v>
      </c>
      <c r="N18" s="20">
        <f t="shared" si="6"/>
        <v>6000</v>
      </c>
      <c r="O18" s="20">
        <f t="shared" si="7"/>
        <v>3500</v>
      </c>
    </row>
    <row r="19" spans="1:16" ht="12.75" x14ac:dyDescent="0.2">
      <c r="A19" s="32">
        <v>11</v>
      </c>
      <c r="B19" s="219" t="s">
        <v>385</v>
      </c>
      <c r="C19" s="36">
        <v>807</v>
      </c>
      <c r="D19" s="35" t="s">
        <v>25</v>
      </c>
      <c r="E19" s="35" t="s">
        <v>168</v>
      </c>
      <c r="F19" s="35" t="s">
        <v>177</v>
      </c>
      <c r="G19" s="35" t="s">
        <v>46</v>
      </c>
      <c r="H19" s="239">
        <v>5</v>
      </c>
      <c r="I19" s="239">
        <v>12</v>
      </c>
      <c r="J19" s="239">
        <v>10.6</v>
      </c>
      <c r="K19" s="165">
        <f t="shared" si="2"/>
        <v>88.333333333333329</v>
      </c>
      <c r="M19" s="20">
        <f t="shared" si="5"/>
        <v>5000</v>
      </c>
      <c r="N19" s="20">
        <f t="shared" si="6"/>
        <v>12000</v>
      </c>
      <c r="O19" s="20">
        <f t="shared" si="7"/>
        <v>10600</v>
      </c>
    </row>
    <row r="20" spans="1:16" ht="38.25" x14ac:dyDescent="0.2">
      <c r="A20" s="32">
        <v>12</v>
      </c>
      <c r="B20" s="42" t="s">
        <v>19</v>
      </c>
      <c r="C20" s="36">
        <v>807</v>
      </c>
      <c r="D20" s="35" t="s">
        <v>26</v>
      </c>
      <c r="E20" s="35"/>
      <c r="F20" s="35"/>
      <c r="G20" s="35"/>
      <c r="H20" s="239">
        <f>H21</f>
        <v>783.44985999999994</v>
      </c>
      <c r="I20" s="239">
        <f t="shared" ref="I20:J21" si="8">I21</f>
        <v>895.49268000000006</v>
      </c>
      <c r="J20" s="239">
        <f t="shared" si="8"/>
        <v>895.49268000000006</v>
      </c>
      <c r="K20" s="165">
        <f t="shared" si="2"/>
        <v>100</v>
      </c>
      <c r="M20" s="20">
        <f t="shared" si="5"/>
        <v>783449.86</v>
      </c>
      <c r="N20" s="20">
        <f t="shared" si="6"/>
        <v>895492.68</v>
      </c>
      <c r="O20" s="20">
        <f t="shared" si="7"/>
        <v>895492.68</v>
      </c>
    </row>
    <row r="21" spans="1:16" ht="12.75" x14ac:dyDescent="0.2">
      <c r="A21" s="32">
        <v>13</v>
      </c>
      <c r="B21" s="219" t="s">
        <v>140</v>
      </c>
      <c r="C21" s="36">
        <v>807</v>
      </c>
      <c r="D21" s="35" t="s">
        <v>26</v>
      </c>
      <c r="E21" s="35" t="s">
        <v>272</v>
      </c>
      <c r="F21" s="35"/>
      <c r="G21" s="35"/>
      <c r="H21" s="239">
        <f>H22</f>
        <v>783.44985999999994</v>
      </c>
      <c r="I21" s="239">
        <f>I22</f>
        <v>895.49268000000006</v>
      </c>
      <c r="J21" s="239">
        <f t="shared" si="8"/>
        <v>895.49268000000006</v>
      </c>
      <c r="K21" s="165">
        <f t="shared" si="2"/>
        <v>100</v>
      </c>
      <c r="M21" s="20">
        <f t="shared" si="5"/>
        <v>783449.86</v>
      </c>
      <c r="N21" s="20">
        <f t="shared" si="6"/>
        <v>895492.68</v>
      </c>
      <c r="O21" s="20">
        <f t="shared" si="7"/>
        <v>895492.68</v>
      </c>
    </row>
    <row r="22" spans="1:16" ht="12.75" x14ac:dyDescent="0.2">
      <c r="A22" s="32">
        <v>14</v>
      </c>
      <c r="B22" s="219" t="s">
        <v>142</v>
      </c>
      <c r="C22" s="36">
        <v>807</v>
      </c>
      <c r="D22" s="35" t="s">
        <v>26</v>
      </c>
      <c r="E22" s="35" t="s">
        <v>272</v>
      </c>
      <c r="F22" s="35" t="s">
        <v>74</v>
      </c>
      <c r="G22" s="35"/>
      <c r="H22" s="239">
        <f>SUM(H23:H26)</f>
        <v>783.44985999999994</v>
      </c>
      <c r="I22" s="239">
        <f t="shared" ref="I22:J22" si="9">SUM(I23:I26)</f>
        <v>895.49268000000006</v>
      </c>
      <c r="J22" s="239">
        <f t="shared" si="9"/>
        <v>895.49268000000006</v>
      </c>
      <c r="K22" s="165">
        <f t="shared" si="2"/>
        <v>100</v>
      </c>
      <c r="M22" s="20">
        <f t="shared" si="5"/>
        <v>783449.86</v>
      </c>
      <c r="N22" s="20">
        <f t="shared" si="6"/>
        <v>895492.68</v>
      </c>
      <c r="O22" s="20">
        <f t="shared" si="7"/>
        <v>895492.68</v>
      </c>
    </row>
    <row r="23" spans="1:16" ht="12.75" x14ac:dyDescent="0.2">
      <c r="A23" s="32">
        <v>15</v>
      </c>
      <c r="B23" s="219" t="s">
        <v>32</v>
      </c>
      <c r="C23" s="36">
        <v>807</v>
      </c>
      <c r="D23" s="35" t="s">
        <v>26</v>
      </c>
      <c r="E23" s="35" t="s">
        <v>169</v>
      </c>
      <c r="F23" s="35" t="s">
        <v>67</v>
      </c>
      <c r="G23" s="35" t="s">
        <v>37</v>
      </c>
      <c r="H23" s="239">
        <v>601.72799999999995</v>
      </c>
      <c r="I23" s="239">
        <v>661.9008</v>
      </c>
      <c r="J23" s="239">
        <v>661.9008</v>
      </c>
      <c r="K23" s="165">
        <f t="shared" si="2"/>
        <v>100</v>
      </c>
      <c r="M23" s="20">
        <f t="shared" si="5"/>
        <v>601728</v>
      </c>
      <c r="N23" s="20">
        <f t="shared" si="6"/>
        <v>661900.80000000005</v>
      </c>
      <c r="O23" s="20">
        <f t="shared" si="7"/>
        <v>661900.80000000005</v>
      </c>
    </row>
    <row r="24" spans="1:16" ht="12.75" x14ac:dyDescent="0.2">
      <c r="A24" s="32">
        <v>16</v>
      </c>
      <c r="B24" s="219" t="s">
        <v>39</v>
      </c>
      <c r="C24" s="36">
        <v>807</v>
      </c>
      <c r="D24" s="35" t="s">
        <v>26</v>
      </c>
      <c r="E24" s="35" t="s">
        <v>169</v>
      </c>
      <c r="F24" s="35" t="s">
        <v>172</v>
      </c>
      <c r="G24" s="35" t="s">
        <v>38</v>
      </c>
      <c r="H24" s="239">
        <v>181.72185999999999</v>
      </c>
      <c r="I24" s="239">
        <v>199.89403999999999</v>
      </c>
      <c r="J24" s="239">
        <v>199.89403999999999</v>
      </c>
      <c r="K24" s="165">
        <f t="shared" si="2"/>
        <v>100</v>
      </c>
      <c r="M24" s="20">
        <f t="shared" si="5"/>
        <v>181721.86</v>
      </c>
      <c r="N24" s="20">
        <f t="shared" si="6"/>
        <v>199894.03999999998</v>
      </c>
      <c r="O24" s="20">
        <f t="shared" si="7"/>
        <v>199894.03999999998</v>
      </c>
    </row>
    <row r="25" spans="1:16" ht="12.75" x14ac:dyDescent="0.2">
      <c r="A25" s="32">
        <v>17</v>
      </c>
      <c r="B25" s="219" t="s">
        <v>32</v>
      </c>
      <c r="C25" s="36">
        <v>807</v>
      </c>
      <c r="D25" s="35" t="s">
        <v>26</v>
      </c>
      <c r="E25" s="35" t="s">
        <v>453</v>
      </c>
      <c r="F25" s="35" t="s">
        <v>67</v>
      </c>
      <c r="G25" s="35" t="s">
        <v>37</v>
      </c>
      <c r="H25" s="239">
        <v>0</v>
      </c>
      <c r="I25" s="239">
        <v>25.881599999999999</v>
      </c>
      <c r="J25" s="239">
        <v>25.881599999999999</v>
      </c>
      <c r="K25" s="165">
        <f t="shared" si="2"/>
        <v>100</v>
      </c>
      <c r="M25" s="20">
        <f t="shared" si="5"/>
        <v>0</v>
      </c>
      <c r="N25" s="20">
        <f t="shared" si="6"/>
        <v>25881.599999999999</v>
      </c>
      <c r="O25" s="20">
        <f t="shared" si="7"/>
        <v>25881.599999999999</v>
      </c>
    </row>
    <row r="26" spans="1:16" ht="12.75" x14ac:dyDescent="0.2">
      <c r="A26" s="32">
        <v>18</v>
      </c>
      <c r="B26" s="219" t="s">
        <v>39</v>
      </c>
      <c r="C26" s="36">
        <v>807</v>
      </c>
      <c r="D26" s="35" t="s">
        <v>26</v>
      </c>
      <c r="E26" s="35" t="s">
        <v>453</v>
      </c>
      <c r="F26" s="35" t="s">
        <v>172</v>
      </c>
      <c r="G26" s="35" t="s">
        <v>38</v>
      </c>
      <c r="H26" s="239">
        <v>0</v>
      </c>
      <c r="I26" s="239">
        <v>7.8162399999999996</v>
      </c>
      <c r="J26" s="239">
        <v>7.8162399999999996</v>
      </c>
      <c r="K26" s="165">
        <f t="shared" si="2"/>
        <v>100</v>
      </c>
      <c r="M26" s="20">
        <f t="shared" si="5"/>
        <v>0</v>
      </c>
      <c r="N26" s="20">
        <f t="shared" si="6"/>
        <v>7816.24</v>
      </c>
      <c r="O26" s="20">
        <f t="shared" si="7"/>
        <v>7816.24</v>
      </c>
    </row>
    <row r="27" spans="1:16" ht="38.25" x14ac:dyDescent="0.2">
      <c r="A27" s="32">
        <v>19</v>
      </c>
      <c r="B27" s="42" t="s">
        <v>20</v>
      </c>
      <c r="C27" s="36">
        <v>807</v>
      </c>
      <c r="D27" s="35" t="s">
        <v>27</v>
      </c>
      <c r="E27" s="35"/>
      <c r="F27" s="35"/>
      <c r="G27" s="35"/>
      <c r="H27" s="239">
        <f>H28</f>
        <v>5208.0864599999995</v>
      </c>
      <c r="I27" s="239">
        <f>I28</f>
        <v>6178.8868499999999</v>
      </c>
      <c r="J27" s="239">
        <f t="shared" ref="J27" si="10">J28</f>
        <v>5867.9473500000004</v>
      </c>
      <c r="K27" s="165">
        <f t="shared" si="2"/>
        <v>94.967710081954337</v>
      </c>
      <c r="M27" s="20">
        <f t="shared" si="5"/>
        <v>5208086.46</v>
      </c>
      <c r="N27" s="20">
        <f t="shared" si="6"/>
        <v>6178886.8499999996</v>
      </c>
      <c r="O27" s="20">
        <f t="shared" si="7"/>
        <v>5867947.3500000006</v>
      </c>
    </row>
    <row r="28" spans="1:16" ht="12.75" x14ac:dyDescent="0.2">
      <c r="A28" s="32">
        <v>20</v>
      </c>
      <c r="B28" s="219" t="s">
        <v>143</v>
      </c>
      <c r="C28" s="36">
        <v>807</v>
      </c>
      <c r="D28" s="35" t="s">
        <v>27</v>
      </c>
      <c r="E28" s="35" t="s">
        <v>243</v>
      </c>
      <c r="F28" s="35"/>
      <c r="G28" s="35"/>
      <c r="H28" s="239">
        <f>SUM(H29:H51)</f>
        <v>5208.0864599999995</v>
      </c>
      <c r="I28" s="239">
        <f>SUM(I29:I51)</f>
        <v>6178.8868499999999</v>
      </c>
      <c r="J28" s="239">
        <f t="shared" ref="J28" si="11">SUM(J29:J51)</f>
        <v>5867.9473500000004</v>
      </c>
      <c r="K28" s="165">
        <f t="shared" si="2"/>
        <v>94.967710081954337</v>
      </c>
      <c r="M28" s="20">
        <f t="shared" si="5"/>
        <v>5208086.46</v>
      </c>
      <c r="N28" s="20">
        <f t="shared" si="6"/>
        <v>6178886.8499999996</v>
      </c>
      <c r="O28" s="20">
        <f t="shared" si="7"/>
        <v>5867947.3500000006</v>
      </c>
    </row>
    <row r="29" spans="1:16" ht="12.75" x14ac:dyDescent="0.2">
      <c r="A29" s="32">
        <v>21</v>
      </c>
      <c r="B29" s="219" t="s">
        <v>32</v>
      </c>
      <c r="C29" s="36">
        <v>807</v>
      </c>
      <c r="D29" s="35" t="s">
        <v>27</v>
      </c>
      <c r="E29" s="35" t="s">
        <v>170</v>
      </c>
      <c r="F29" s="35" t="s">
        <v>67</v>
      </c>
      <c r="G29" s="35" t="s">
        <v>37</v>
      </c>
      <c r="H29" s="239">
        <v>2989.2462300000002</v>
      </c>
      <c r="I29" s="239">
        <v>3000.6056199999998</v>
      </c>
      <c r="J29" s="239">
        <v>2988.9810200000002</v>
      </c>
      <c r="K29" s="165">
        <f t="shared" si="2"/>
        <v>99.612591540770367</v>
      </c>
      <c r="M29" s="20">
        <f t="shared" si="5"/>
        <v>2989246.23</v>
      </c>
      <c r="N29" s="20">
        <f t="shared" si="6"/>
        <v>3000605.6199999996</v>
      </c>
      <c r="O29" s="20">
        <f t="shared" si="7"/>
        <v>2988981.02</v>
      </c>
    </row>
    <row r="30" spans="1:16" ht="12.75" x14ac:dyDescent="0.2">
      <c r="A30" s="32">
        <v>22</v>
      </c>
      <c r="B30" s="219" t="s">
        <v>39</v>
      </c>
      <c r="C30" s="36">
        <v>807</v>
      </c>
      <c r="D30" s="35" t="s">
        <v>27</v>
      </c>
      <c r="E30" s="35" t="s">
        <v>170</v>
      </c>
      <c r="F30" s="35" t="s">
        <v>172</v>
      </c>
      <c r="G30" s="35" t="s">
        <v>38</v>
      </c>
      <c r="H30" s="239">
        <v>902.75235999999995</v>
      </c>
      <c r="I30" s="239">
        <v>909.80718000000002</v>
      </c>
      <c r="J30" s="239">
        <v>900.24842999999998</v>
      </c>
      <c r="K30" s="165">
        <f t="shared" si="2"/>
        <v>98.949365292984382</v>
      </c>
      <c r="M30" s="20">
        <f t="shared" si="5"/>
        <v>902752.36</v>
      </c>
      <c r="N30" s="20">
        <f t="shared" si="6"/>
        <v>909807.18</v>
      </c>
      <c r="O30" s="20">
        <f t="shared" si="7"/>
        <v>900248.42999999993</v>
      </c>
    </row>
    <row r="31" spans="1:16" ht="12.75" x14ac:dyDescent="0.2">
      <c r="A31" s="32">
        <v>23</v>
      </c>
      <c r="B31" s="219" t="s">
        <v>32</v>
      </c>
      <c r="C31" s="36">
        <v>807</v>
      </c>
      <c r="D31" s="35" t="s">
        <v>27</v>
      </c>
      <c r="E31" s="35" t="s">
        <v>382</v>
      </c>
      <c r="F31" s="35" t="s">
        <v>67</v>
      </c>
      <c r="G31" s="35" t="s">
        <v>37</v>
      </c>
      <c r="H31" s="239">
        <v>0</v>
      </c>
      <c r="I31" s="239">
        <v>21.079000000000001</v>
      </c>
      <c r="J31" s="239">
        <v>20.882999999999999</v>
      </c>
      <c r="K31" s="165">
        <f t="shared" si="2"/>
        <v>99.070164618814928</v>
      </c>
      <c r="M31" s="20">
        <f t="shared" si="5"/>
        <v>0</v>
      </c>
      <c r="N31" s="20">
        <f t="shared" si="6"/>
        <v>21079</v>
      </c>
      <c r="O31" s="20">
        <f t="shared" si="7"/>
        <v>20883</v>
      </c>
    </row>
    <row r="32" spans="1:16" ht="12.75" x14ac:dyDescent="0.2">
      <c r="A32" s="32">
        <v>24</v>
      </c>
      <c r="B32" s="219" t="s">
        <v>39</v>
      </c>
      <c r="C32" s="36">
        <v>807</v>
      </c>
      <c r="D32" s="35" t="s">
        <v>27</v>
      </c>
      <c r="E32" s="35" t="s">
        <v>382</v>
      </c>
      <c r="F32" s="35" t="s">
        <v>172</v>
      </c>
      <c r="G32" s="35" t="s">
        <v>38</v>
      </c>
      <c r="H32" s="239">
        <v>0</v>
      </c>
      <c r="I32" s="239">
        <v>6.3650000000000002</v>
      </c>
      <c r="J32" s="239">
        <v>6.3150000000000004</v>
      </c>
      <c r="K32" s="165">
        <f t="shared" si="2"/>
        <v>99.214454045561666</v>
      </c>
      <c r="M32" s="20">
        <f t="shared" si="5"/>
        <v>0</v>
      </c>
      <c r="N32" s="20">
        <f t="shared" si="6"/>
        <v>6365</v>
      </c>
      <c r="O32" s="20">
        <f t="shared" si="7"/>
        <v>6315</v>
      </c>
      <c r="P32" s="20">
        <f>O29+O37</f>
        <v>3000792.2</v>
      </c>
    </row>
    <row r="33" spans="1:16" ht="12.75" x14ac:dyDescent="0.2">
      <c r="A33" s="32">
        <v>25</v>
      </c>
      <c r="B33" s="219" t="s">
        <v>32</v>
      </c>
      <c r="C33" s="36">
        <v>807</v>
      </c>
      <c r="D33" s="35" t="s">
        <v>27</v>
      </c>
      <c r="E33" s="35" t="s">
        <v>454</v>
      </c>
      <c r="F33" s="35" t="s">
        <v>67</v>
      </c>
      <c r="G33" s="35" t="s">
        <v>37</v>
      </c>
      <c r="H33" s="239">
        <v>0</v>
      </c>
      <c r="I33" s="239">
        <v>107.97110000000001</v>
      </c>
      <c r="J33" s="239">
        <v>78.095339999999993</v>
      </c>
      <c r="K33" s="165">
        <f t="shared" si="2"/>
        <v>72.329854933403453</v>
      </c>
      <c r="M33" s="20">
        <f t="shared" si="5"/>
        <v>0</v>
      </c>
      <c r="N33" s="20">
        <f t="shared" si="6"/>
        <v>107971.1</v>
      </c>
      <c r="O33" s="20">
        <f t="shared" si="7"/>
        <v>78095.34</v>
      </c>
    </row>
    <row r="34" spans="1:16" ht="12.75" x14ac:dyDescent="0.2">
      <c r="A34" s="32">
        <v>26</v>
      </c>
      <c r="B34" s="219" t="s">
        <v>39</v>
      </c>
      <c r="C34" s="36">
        <v>807</v>
      </c>
      <c r="D34" s="35" t="s">
        <v>27</v>
      </c>
      <c r="E34" s="35" t="s">
        <v>454</v>
      </c>
      <c r="F34" s="35" t="s">
        <v>172</v>
      </c>
      <c r="G34" s="35" t="s">
        <v>38</v>
      </c>
      <c r="H34" s="239">
        <v>0</v>
      </c>
      <c r="I34" s="239">
        <v>32.60727</v>
      </c>
      <c r="J34" s="239">
        <v>23.584790000000002</v>
      </c>
      <c r="K34" s="165">
        <f t="shared" si="2"/>
        <v>72.329851594445046</v>
      </c>
      <c r="M34" s="20">
        <f t="shared" si="5"/>
        <v>0</v>
      </c>
      <c r="N34" s="20">
        <f t="shared" si="6"/>
        <v>32607.27</v>
      </c>
      <c r="O34" s="20">
        <f t="shared" si="7"/>
        <v>23584.79</v>
      </c>
    </row>
    <row r="35" spans="1:16" ht="12.75" x14ac:dyDescent="0.2">
      <c r="A35" s="32">
        <v>27</v>
      </c>
      <c r="B35" s="219" t="s">
        <v>32</v>
      </c>
      <c r="C35" s="36">
        <v>807</v>
      </c>
      <c r="D35" s="35" t="s">
        <v>27</v>
      </c>
      <c r="E35" s="35" t="s">
        <v>495</v>
      </c>
      <c r="F35" s="35" t="s">
        <v>67</v>
      </c>
      <c r="G35" s="35" t="s">
        <v>37</v>
      </c>
      <c r="H35" s="239">
        <v>0</v>
      </c>
      <c r="I35" s="239">
        <v>15.561</v>
      </c>
      <c r="J35" s="239">
        <v>15.561</v>
      </c>
      <c r="K35" s="165">
        <f t="shared" ref="K35:K36" si="12">J35/I35*100</f>
        <v>100</v>
      </c>
      <c r="M35" s="20">
        <f t="shared" si="5"/>
        <v>0</v>
      </c>
      <c r="N35" s="20">
        <f t="shared" si="6"/>
        <v>15561</v>
      </c>
      <c r="O35" s="20">
        <f t="shared" si="7"/>
        <v>15561</v>
      </c>
    </row>
    <row r="36" spans="1:16" ht="12.75" x14ac:dyDescent="0.2">
      <c r="A36" s="32">
        <v>28</v>
      </c>
      <c r="B36" s="219" t="s">
        <v>39</v>
      </c>
      <c r="C36" s="36">
        <v>807</v>
      </c>
      <c r="D36" s="35" t="s">
        <v>27</v>
      </c>
      <c r="E36" s="35" t="s">
        <v>495</v>
      </c>
      <c r="F36" s="35" t="s">
        <v>172</v>
      </c>
      <c r="G36" s="35" t="s">
        <v>38</v>
      </c>
      <c r="H36" s="239">
        <v>0</v>
      </c>
      <c r="I36" s="239">
        <v>4.6989999999999998</v>
      </c>
      <c r="J36" s="239">
        <v>4.6989999999999998</v>
      </c>
      <c r="K36" s="165">
        <f t="shared" si="12"/>
        <v>100</v>
      </c>
      <c r="M36" s="20">
        <f t="shared" si="5"/>
        <v>0</v>
      </c>
      <c r="N36" s="20">
        <f t="shared" si="6"/>
        <v>4699</v>
      </c>
      <c r="O36" s="20">
        <f t="shared" si="7"/>
        <v>4699</v>
      </c>
    </row>
    <row r="37" spans="1:16" ht="12.75" x14ac:dyDescent="0.2">
      <c r="A37" s="32">
        <v>29</v>
      </c>
      <c r="B37" s="219" t="s">
        <v>273</v>
      </c>
      <c r="C37" s="36">
        <v>807</v>
      </c>
      <c r="D37" s="35" t="s">
        <v>27</v>
      </c>
      <c r="E37" s="35" t="s">
        <v>170</v>
      </c>
      <c r="F37" s="35" t="s">
        <v>67</v>
      </c>
      <c r="G37" s="35" t="s">
        <v>274</v>
      </c>
      <c r="H37" s="239">
        <v>0</v>
      </c>
      <c r="I37" s="239">
        <v>12.00281</v>
      </c>
      <c r="J37" s="239">
        <f>12.00281-0.19163</f>
        <v>11.81118</v>
      </c>
      <c r="K37" s="165">
        <f t="shared" si="2"/>
        <v>98.40345719044123</v>
      </c>
      <c r="M37" s="20">
        <f t="shared" si="5"/>
        <v>0</v>
      </c>
      <c r="N37" s="20">
        <f t="shared" si="6"/>
        <v>12002.81</v>
      </c>
      <c r="O37" s="20">
        <f t="shared" si="7"/>
        <v>11811.18</v>
      </c>
    </row>
    <row r="38" spans="1:16" ht="12.75" x14ac:dyDescent="0.2">
      <c r="A38" s="32">
        <v>30</v>
      </c>
      <c r="B38" s="219" t="s">
        <v>47</v>
      </c>
      <c r="C38" s="36">
        <v>807</v>
      </c>
      <c r="D38" s="35" t="s">
        <v>27</v>
      </c>
      <c r="E38" s="35" t="s">
        <v>170</v>
      </c>
      <c r="F38" s="35" t="s">
        <v>177</v>
      </c>
      <c r="G38" s="35" t="s">
        <v>48</v>
      </c>
      <c r="H38" s="239">
        <v>0</v>
      </c>
      <c r="I38" s="239">
        <v>0</v>
      </c>
      <c r="J38" s="239">
        <v>0</v>
      </c>
      <c r="K38" s="165">
        <v>0</v>
      </c>
      <c r="M38" s="20">
        <f t="shared" si="5"/>
        <v>0</v>
      </c>
      <c r="N38" s="20">
        <f t="shared" si="6"/>
        <v>0</v>
      </c>
      <c r="O38" s="20">
        <f t="shared" si="7"/>
        <v>0</v>
      </c>
    </row>
    <row r="39" spans="1:16" ht="12.75" x14ac:dyDescent="0.2">
      <c r="A39" s="32">
        <v>31</v>
      </c>
      <c r="B39" s="219" t="s">
        <v>33</v>
      </c>
      <c r="C39" s="36">
        <v>807</v>
      </c>
      <c r="D39" s="35" t="s">
        <v>27</v>
      </c>
      <c r="E39" s="35" t="s">
        <v>170</v>
      </c>
      <c r="F39" s="35" t="s">
        <v>68</v>
      </c>
      <c r="G39" s="35" t="s">
        <v>41</v>
      </c>
      <c r="H39" s="239">
        <v>51.02</v>
      </c>
      <c r="I39" s="239">
        <v>53.64</v>
      </c>
      <c r="J39" s="239">
        <v>35.247140000000002</v>
      </c>
      <c r="K39" s="165">
        <f t="shared" si="2"/>
        <v>65.710551826994774</v>
      </c>
      <c r="M39" s="20">
        <f t="shared" si="5"/>
        <v>51020</v>
      </c>
      <c r="N39" s="20">
        <f t="shared" si="6"/>
        <v>53640</v>
      </c>
      <c r="O39" s="20">
        <f t="shared" si="7"/>
        <v>35247.14</v>
      </c>
    </row>
    <row r="40" spans="1:16" ht="12.75" x14ac:dyDescent="0.2">
      <c r="A40" s="32">
        <v>32</v>
      </c>
      <c r="B40" s="219" t="s">
        <v>34</v>
      </c>
      <c r="C40" s="36">
        <v>807</v>
      </c>
      <c r="D40" s="35" t="s">
        <v>27</v>
      </c>
      <c r="E40" s="35" t="s">
        <v>170</v>
      </c>
      <c r="F40" s="35" t="s">
        <v>68</v>
      </c>
      <c r="G40" s="35" t="s">
        <v>42</v>
      </c>
      <c r="H40" s="239">
        <v>31.776620000000001</v>
      </c>
      <c r="I40" s="239">
        <v>20.17662</v>
      </c>
      <c r="J40" s="239">
        <v>19.99061</v>
      </c>
      <c r="K40" s="165">
        <f t="shared" si="2"/>
        <v>99.078091375066791</v>
      </c>
      <c r="M40" s="20">
        <f t="shared" si="5"/>
        <v>31776.620000000003</v>
      </c>
      <c r="N40" s="20">
        <f t="shared" si="6"/>
        <v>20176.62</v>
      </c>
      <c r="O40" s="20">
        <f t="shared" si="7"/>
        <v>19990.61</v>
      </c>
    </row>
    <row r="41" spans="1:16" ht="12.75" x14ac:dyDescent="0.2">
      <c r="A41" s="32">
        <v>33</v>
      </c>
      <c r="B41" s="219" t="s">
        <v>34</v>
      </c>
      <c r="C41" s="36">
        <v>807</v>
      </c>
      <c r="D41" s="35" t="s">
        <v>27</v>
      </c>
      <c r="E41" s="35" t="s">
        <v>170</v>
      </c>
      <c r="F41" s="35" t="s">
        <v>387</v>
      </c>
      <c r="G41" s="35" t="s">
        <v>42</v>
      </c>
      <c r="H41" s="239">
        <v>900</v>
      </c>
      <c r="I41" s="239">
        <v>990</v>
      </c>
      <c r="J41" s="239">
        <v>864.93294000000003</v>
      </c>
      <c r="K41" s="165">
        <f t="shared" si="2"/>
        <v>87.366963636363636</v>
      </c>
      <c r="M41" s="20">
        <f t="shared" si="5"/>
        <v>900000</v>
      </c>
      <c r="N41" s="20">
        <f t="shared" si="6"/>
        <v>990000</v>
      </c>
      <c r="O41" s="20">
        <f t="shared" si="7"/>
        <v>864932.94000000006</v>
      </c>
      <c r="P41" s="20"/>
    </row>
    <row r="42" spans="1:16" ht="12.75" x14ac:dyDescent="0.2">
      <c r="A42" s="32">
        <v>34</v>
      </c>
      <c r="B42" s="219" t="s">
        <v>43</v>
      </c>
      <c r="C42" s="36">
        <v>807</v>
      </c>
      <c r="D42" s="35" t="s">
        <v>27</v>
      </c>
      <c r="E42" s="35" t="s">
        <v>170</v>
      </c>
      <c r="F42" s="35" t="s">
        <v>68</v>
      </c>
      <c r="G42" s="35" t="s">
        <v>44</v>
      </c>
      <c r="H42" s="239">
        <v>35.5</v>
      </c>
      <c r="I42" s="239">
        <v>206</v>
      </c>
      <c r="J42" s="239">
        <v>205.97499999999999</v>
      </c>
      <c r="K42" s="165">
        <f t="shared" si="2"/>
        <v>99.987864077669897</v>
      </c>
      <c r="M42" s="20">
        <f t="shared" si="5"/>
        <v>35500</v>
      </c>
      <c r="N42" s="20">
        <f t="shared" si="6"/>
        <v>206000</v>
      </c>
      <c r="O42" s="20">
        <f t="shared" si="7"/>
        <v>205975</v>
      </c>
    </row>
    <row r="43" spans="1:16" ht="12.75" x14ac:dyDescent="0.2">
      <c r="A43" s="32">
        <v>35</v>
      </c>
      <c r="B43" s="219" t="s">
        <v>45</v>
      </c>
      <c r="C43" s="36">
        <v>807</v>
      </c>
      <c r="D43" s="35" t="s">
        <v>27</v>
      </c>
      <c r="E43" s="35" t="s">
        <v>170</v>
      </c>
      <c r="F43" s="35" t="s">
        <v>68</v>
      </c>
      <c r="G43" s="35" t="s">
        <v>46</v>
      </c>
      <c r="H43" s="239">
        <v>17.7</v>
      </c>
      <c r="I43" s="239">
        <v>172.9</v>
      </c>
      <c r="J43" s="239">
        <v>171.94399999999999</v>
      </c>
      <c r="K43" s="165">
        <f t="shared" si="2"/>
        <v>99.447079236552909</v>
      </c>
      <c r="M43" s="20">
        <f t="shared" si="5"/>
        <v>17700</v>
      </c>
      <c r="N43" s="20">
        <f t="shared" si="6"/>
        <v>172900</v>
      </c>
      <c r="O43" s="20">
        <f t="shared" si="7"/>
        <v>171944</v>
      </c>
    </row>
    <row r="44" spans="1:16" ht="12.75" x14ac:dyDescent="0.2">
      <c r="A44" s="32">
        <v>36</v>
      </c>
      <c r="B44" s="219" t="s">
        <v>209</v>
      </c>
      <c r="C44" s="36">
        <v>807</v>
      </c>
      <c r="D44" s="35" t="s">
        <v>27</v>
      </c>
      <c r="E44" s="35" t="s">
        <v>170</v>
      </c>
      <c r="F44" s="35" t="s">
        <v>68</v>
      </c>
      <c r="G44" s="35" t="s">
        <v>208</v>
      </c>
      <c r="H44" s="239">
        <v>6.2</v>
      </c>
      <c r="I44" s="239">
        <v>11.5</v>
      </c>
      <c r="J44" s="239">
        <v>10.901870000000001</v>
      </c>
      <c r="K44" s="165">
        <f t="shared" si="2"/>
        <v>94.798869565217387</v>
      </c>
      <c r="M44" s="20">
        <f t="shared" si="5"/>
        <v>6200</v>
      </c>
      <c r="N44" s="20">
        <f t="shared" si="6"/>
        <v>11500</v>
      </c>
      <c r="O44" s="20">
        <f t="shared" si="7"/>
        <v>10901.87</v>
      </c>
    </row>
    <row r="45" spans="1:16" ht="12.75" x14ac:dyDescent="0.2">
      <c r="A45" s="32">
        <v>37</v>
      </c>
      <c r="B45" s="219" t="s">
        <v>412</v>
      </c>
      <c r="C45" s="36">
        <v>807</v>
      </c>
      <c r="D45" s="35" t="s">
        <v>27</v>
      </c>
      <c r="E45" s="35" t="s">
        <v>170</v>
      </c>
      <c r="F45" s="35" t="s">
        <v>411</v>
      </c>
      <c r="G45" s="35" t="s">
        <v>413</v>
      </c>
      <c r="H45" s="239">
        <v>0</v>
      </c>
      <c r="I45" s="239">
        <v>3</v>
      </c>
      <c r="J45" s="239">
        <v>0.3</v>
      </c>
      <c r="K45" s="165">
        <f t="shared" si="2"/>
        <v>10</v>
      </c>
      <c r="M45" s="20">
        <f t="shared" si="5"/>
        <v>0</v>
      </c>
      <c r="N45" s="20">
        <f t="shared" si="6"/>
        <v>3000</v>
      </c>
      <c r="O45" s="20">
        <f t="shared" si="7"/>
        <v>300</v>
      </c>
    </row>
    <row r="46" spans="1:16" ht="12.75" x14ac:dyDescent="0.2">
      <c r="A46" s="32">
        <v>38</v>
      </c>
      <c r="B46" s="219" t="s">
        <v>234</v>
      </c>
      <c r="C46" s="36">
        <v>807</v>
      </c>
      <c r="D46" s="35" t="s">
        <v>27</v>
      </c>
      <c r="E46" s="35" t="s">
        <v>170</v>
      </c>
      <c r="F46" s="35" t="s">
        <v>173</v>
      </c>
      <c r="G46" s="35" t="s">
        <v>413</v>
      </c>
      <c r="H46" s="239">
        <v>0</v>
      </c>
      <c r="I46" s="239">
        <v>0</v>
      </c>
      <c r="J46" s="239">
        <v>0</v>
      </c>
      <c r="K46" s="165">
        <v>0</v>
      </c>
      <c r="M46" s="20">
        <f t="shared" si="5"/>
        <v>0</v>
      </c>
      <c r="N46" s="20">
        <f t="shared" si="6"/>
        <v>0</v>
      </c>
      <c r="O46" s="20">
        <f t="shared" si="7"/>
        <v>0</v>
      </c>
    </row>
    <row r="47" spans="1:16" ht="12.75" x14ac:dyDescent="0.2">
      <c r="A47" s="32">
        <v>39</v>
      </c>
      <c r="B47" s="219" t="s">
        <v>510</v>
      </c>
      <c r="C47" s="36">
        <v>807</v>
      </c>
      <c r="D47" s="35" t="s">
        <v>27</v>
      </c>
      <c r="E47" s="35" t="s">
        <v>170</v>
      </c>
      <c r="F47" s="35" t="s">
        <v>173</v>
      </c>
      <c r="G47" s="35" t="s">
        <v>509</v>
      </c>
      <c r="H47" s="239">
        <v>0</v>
      </c>
      <c r="I47" s="239">
        <v>1</v>
      </c>
      <c r="J47" s="239">
        <v>0.25</v>
      </c>
      <c r="K47" s="165">
        <f t="shared" si="2"/>
        <v>25</v>
      </c>
      <c r="M47" s="20">
        <f t="shared" si="5"/>
        <v>0</v>
      </c>
      <c r="N47" s="20">
        <f t="shared" si="6"/>
        <v>1000</v>
      </c>
      <c r="O47" s="20">
        <f t="shared" si="7"/>
        <v>250</v>
      </c>
    </row>
    <row r="48" spans="1:16" ht="12.75" x14ac:dyDescent="0.2">
      <c r="A48" s="32">
        <v>40</v>
      </c>
      <c r="B48" s="219" t="s">
        <v>414</v>
      </c>
      <c r="C48" s="36">
        <v>807</v>
      </c>
      <c r="D48" s="35" t="s">
        <v>27</v>
      </c>
      <c r="E48" s="35" t="s">
        <v>170</v>
      </c>
      <c r="F48" s="35" t="s">
        <v>173</v>
      </c>
      <c r="G48" s="35" t="s">
        <v>388</v>
      </c>
      <c r="H48" s="239">
        <v>2.9420000000000002</v>
      </c>
      <c r="I48" s="239">
        <v>2.9420000000000002</v>
      </c>
      <c r="J48" s="239">
        <v>2.4990000000000001</v>
      </c>
      <c r="K48" s="165">
        <f t="shared" si="2"/>
        <v>84.942216179469739</v>
      </c>
      <c r="M48" s="20">
        <f t="shared" si="5"/>
        <v>2942</v>
      </c>
      <c r="N48" s="20">
        <f t="shared" si="6"/>
        <v>2942</v>
      </c>
      <c r="O48" s="20">
        <f t="shared" si="7"/>
        <v>2499</v>
      </c>
    </row>
    <row r="49" spans="1:16" ht="12.75" x14ac:dyDescent="0.2">
      <c r="A49" s="32">
        <v>41</v>
      </c>
      <c r="B49" s="219" t="s">
        <v>35</v>
      </c>
      <c r="C49" s="36">
        <v>807</v>
      </c>
      <c r="D49" s="35" t="s">
        <v>27</v>
      </c>
      <c r="E49" s="35" t="s">
        <v>170</v>
      </c>
      <c r="F49" s="35" t="s">
        <v>68</v>
      </c>
      <c r="G49" s="35" t="s">
        <v>49</v>
      </c>
      <c r="H49" s="239">
        <v>0</v>
      </c>
      <c r="I49" s="239">
        <v>41.999000000000002</v>
      </c>
      <c r="J49" s="239">
        <v>38.698999999999998</v>
      </c>
      <c r="K49" s="165">
        <f t="shared" si="2"/>
        <v>92.142670063572922</v>
      </c>
      <c r="M49" s="20">
        <f t="shared" si="5"/>
        <v>0</v>
      </c>
      <c r="N49" s="20">
        <f t="shared" si="6"/>
        <v>41999</v>
      </c>
      <c r="O49" s="20">
        <f t="shared" si="7"/>
        <v>38699</v>
      </c>
    </row>
    <row r="50" spans="1:16" ht="12.75" x14ac:dyDescent="0.2">
      <c r="A50" s="32">
        <v>42</v>
      </c>
      <c r="B50" s="219" t="s">
        <v>52</v>
      </c>
      <c r="C50" s="36">
        <v>807</v>
      </c>
      <c r="D50" s="35" t="s">
        <v>27</v>
      </c>
      <c r="E50" s="35" t="s">
        <v>170</v>
      </c>
      <c r="F50" s="35" t="s">
        <v>68</v>
      </c>
      <c r="G50" s="35" t="s">
        <v>40</v>
      </c>
      <c r="H50" s="239">
        <v>180.21225000000001</v>
      </c>
      <c r="I50" s="239">
        <v>470.39224999999999</v>
      </c>
      <c r="J50" s="239">
        <f>372.54024</f>
        <v>372.54023999999998</v>
      </c>
      <c r="K50" s="165">
        <f t="shared" si="2"/>
        <v>79.197784402272788</v>
      </c>
      <c r="M50" s="20">
        <f t="shared" si="5"/>
        <v>180212.25</v>
      </c>
      <c r="N50" s="20">
        <f t="shared" si="6"/>
        <v>470392.25</v>
      </c>
      <c r="O50" s="20">
        <f t="shared" si="7"/>
        <v>372540.24</v>
      </c>
    </row>
    <row r="51" spans="1:16" ht="12.75" x14ac:dyDescent="0.2">
      <c r="A51" s="32">
        <v>43</v>
      </c>
      <c r="B51" s="219" t="s">
        <v>79</v>
      </c>
      <c r="C51" s="36">
        <v>807</v>
      </c>
      <c r="D51" s="35" t="s">
        <v>27</v>
      </c>
      <c r="E51" s="35" t="s">
        <v>171</v>
      </c>
      <c r="F51" s="35" t="s">
        <v>80</v>
      </c>
      <c r="G51" s="35" t="s">
        <v>81</v>
      </c>
      <c r="H51" s="239">
        <v>90.736999999999995</v>
      </c>
      <c r="I51" s="239">
        <v>94.638999999999996</v>
      </c>
      <c r="J51" s="239">
        <v>94.488789999999995</v>
      </c>
      <c r="K51" s="165">
        <f t="shared" si="2"/>
        <v>99.841281078625087</v>
      </c>
      <c r="M51" s="20">
        <f t="shared" si="5"/>
        <v>90737</v>
      </c>
      <c r="N51" s="20">
        <f t="shared" si="6"/>
        <v>94639</v>
      </c>
      <c r="O51" s="20">
        <f t="shared" si="7"/>
        <v>94488.79</v>
      </c>
    </row>
    <row r="52" spans="1:16" ht="12.75" x14ac:dyDescent="0.2">
      <c r="A52" s="32">
        <v>44</v>
      </c>
      <c r="B52" s="166" t="s">
        <v>218</v>
      </c>
      <c r="C52" s="155">
        <v>807</v>
      </c>
      <c r="D52" s="157" t="s">
        <v>219</v>
      </c>
      <c r="E52" s="155" t="s">
        <v>155</v>
      </c>
      <c r="F52" s="155" t="s">
        <v>155</v>
      </c>
      <c r="G52" s="35"/>
      <c r="H52" s="239">
        <f>H53</f>
        <v>10</v>
      </c>
      <c r="I52" s="239">
        <f t="shared" ref="I52:J53" si="13">I53</f>
        <v>10</v>
      </c>
      <c r="J52" s="239">
        <f t="shared" si="13"/>
        <v>0</v>
      </c>
      <c r="K52" s="165">
        <f t="shared" si="2"/>
        <v>0</v>
      </c>
      <c r="M52" s="20">
        <f t="shared" si="5"/>
        <v>10000</v>
      </c>
      <c r="N52" s="20">
        <f t="shared" si="6"/>
        <v>10000</v>
      </c>
      <c r="O52" s="20">
        <f t="shared" si="7"/>
        <v>0</v>
      </c>
    </row>
    <row r="53" spans="1:16" ht="12.75" x14ac:dyDescent="0.2">
      <c r="A53" s="32">
        <v>45</v>
      </c>
      <c r="B53" s="64" t="s">
        <v>143</v>
      </c>
      <c r="C53" s="155">
        <v>807</v>
      </c>
      <c r="D53" s="157" t="s">
        <v>219</v>
      </c>
      <c r="E53" s="155">
        <v>6400000000</v>
      </c>
      <c r="F53" s="155" t="s">
        <v>155</v>
      </c>
      <c r="G53" s="35"/>
      <c r="H53" s="239">
        <f>H54</f>
        <v>10</v>
      </c>
      <c r="I53" s="239">
        <f t="shared" si="13"/>
        <v>10</v>
      </c>
      <c r="J53" s="239">
        <f t="shared" si="13"/>
        <v>0</v>
      </c>
      <c r="K53" s="165">
        <f t="shared" si="2"/>
        <v>0</v>
      </c>
      <c r="M53" s="20">
        <f t="shared" si="5"/>
        <v>10000</v>
      </c>
      <c r="N53" s="20">
        <f t="shared" si="6"/>
        <v>10000</v>
      </c>
      <c r="O53" s="20">
        <f t="shared" si="7"/>
        <v>0</v>
      </c>
    </row>
    <row r="54" spans="1:16" ht="25.5" x14ac:dyDescent="0.2">
      <c r="A54" s="32">
        <v>46</v>
      </c>
      <c r="B54" s="154" t="s">
        <v>220</v>
      </c>
      <c r="C54" s="155">
        <v>807</v>
      </c>
      <c r="D54" s="157" t="s">
        <v>219</v>
      </c>
      <c r="E54" s="155">
        <v>6400080000</v>
      </c>
      <c r="F54" s="155" t="s">
        <v>155</v>
      </c>
      <c r="G54" s="35"/>
      <c r="H54" s="243">
        <f>H55</f>
        <v>10</v>
      </c>
      <c r="I54" s="244">
        <f>I55</f>
        <v>10</v>
      </c>
      <c r="J54" s="244">
        <f>J55</f>
        <v>0</v>
      </c>
      <c r="K54" s="165">
        <f t="shared" si="2"/>
        <v>0</v>
      </c>
      <c r="M54" s="20">
        <f t="shared" si="5"/>
        <v>10000</v>
      </c>
      <c r="N54" s="20">
        <f t="shared" si="6"/>
        <v>10000</v>
      </c>
      <c r="O54" s="20">
        <f t="shared" si="7"/>
        <v>0</v>
      </c>
    </row>
    <row r="55" spans="1:16" ht="25.5" x14ac:dyDescent="0.2">
      <c r="A55" s="32">
        <v>47</v>
      </c>
      <c r="B55" s="154" t="s">
        <v>221</v>
      </c>
      <c r="C55" s="155">
        <v>807</v>
      </c>
      <c r="D55" s="157" t="s">
        <v>219</v>
      </c>
      <c r="E55" s="155">
        <v>6400080210</v>
      </c>
      <c r="F55" s="155" t="s">
        <v>155</v>
      </c>
      <c r="G55" s="35"/>
      <c r="H55" s="239">
        <f>SUM(H56)</f>
        <v>10</v>
      </c>
      <c r="I55" s="242">
        <f>SUM(I56)</f>
        <v>10</v>
      </c>
      <c r="J55" s="242">
        <f>SUM(J56:J57)</f>
        <v>0</v>
      </c>
      <c r="K55" s="165">
        <f t="shared" si="2"/>
        <v>0</v>
      </c>
      <c r="M55" s="20">
        <f t="shared" si="5"/>
        <v>10000</v>
      </c>
      <c r="N55" s="20">
        <f t="shared" si="6"/>
        <v>10000</v>
      </c>
      <c r="O55" s="20">
        <f t="shared" si="7"/>
        <v>0</v>
      </c>
    </row>
    <row r="56" spans="1:16" ht="12.75" x14ac:dyDescent="0.2">
      <c r="A56" s="32">
        <v>48</v>
      </c>
      <c r="B56" s="154" t="s">
        <v>222</v>
      </c>
      <c r="C56" s="155">
        <v>807</v>
      </c>
      <c r="D56" s="157" t="s">
        <v>219</v>
      </c>
      <c r="E56" s="155">
        <v>6400080210</v>
      </c>
      <c r="F56" s="155">
        <v>800</v>
      </c>
      <c r="G56" s="35"/>
      <c r="H56" s="239">
        <f>H57</f>
        <v>10</v>
      </c>
      <c r="I56" s="239">
        <f t="shared" ref="I56:J56" si="14">I57</f>
        <v>10</v>
      </c>
      <c r="J56" s="242">
        <f t="shared" si="14"/>
        <v>0</v>
      </c>
      <c r="K56" s="165">
        <f t="shared" si="2"/>
        <v>0</v>
      </c>
      <c r="M56" s="20">
        <f t="shared" si="5"/>
        <v>10000</v>
      </c>
      <c r="N56" s="20">
        <f t="shared" si="6"/>
        <v>10000</v>
      </c>
      <c r="O56" s="20">
        <f t="shared" si="7"/>
        <v>0</v>
      </c>
    </row>
    <row r="57" spans="1:16" ht="12.75" x14ac:dyDescent="0.2">
      <c r="A57" s="32">
        <v>49</v>
      </c>
      <c r="B57" s="154" t="s">
        <v>223</v>
      </c>
      <c r="C57" s="155">
        <v>807</v>
      </c>
      <c r="D57" s="157" t="s">
        <v>219</v>
      </c>
      <c r="E57" s="155">
        <v>6400080210</v>
      </c>
      <c r="F57" s="155">
        <v>870</v>
      </c>
      <c r="G57" s="35" t="s">
        <v>210</v>
      </c>
      <c r="H57" s="239">
        <v>10</v>
      </c>
      <c r="I57" s="239">
        <v>10</v>
      </c>
      <c r="J57" s="242">
        <v>0</v>
      </c>
      <c r="K57" s="165">
        <f t="shared" si="2"/>
        <v>0</v>
      </c>
      <c r="M57" s="20">
        <f t="shared" si="5"/>
        <v>10000</v>
      </c>
      <c r="N57" s="20">
        <f t="shared" si="6"/>
        <v>10000</v>
      </c>
      <c r="O57" s="20">
        <f t="shared" si="7"/>
        <v>0</v>
      </c>
    </row>
    <row r="58" spans="1:16" ht="12.75" x14ac:dyDescent="0.2">
      <c r="A58" s="32">
        <v>50</v>
      </c>
      <c r="B58" s="43" t="s">
        <v>144</v>
      </c>
      <c r="C58" s="39">
        <v>807</v>
      </c>
      <c r="D58" s="38" t="s">
        <v>57</v>
      </c>
      <c r="E58" s="38"/>
      <c r="F58" s="38"/>
      <c r="G58" s="138"/>
      <c r="H58" s="243">
        <f t="shared" ref="H58:J59" si="15">H59</f>
        <v>1628.6678499999998</v>
      </c>
      <c r="I58" s="243">
        <f t="shared" si="15"/>
        <v>1777.6272300000003</v>
      </c>
      <c r="J58" s="243">
        <f t="shared" si="15"/>
        <v>1762.9425500000002</v>
      </c>
      <c r="K58" s="165">
        <f t="shared" si="2"/>
        <v>99.173916794692659</v>
      </c>
      <c r="M58" s="20">
        <f t="shared" si="5"/>
        <v>1628667.8499999999</v>
      </c>
      <c r="N58" s="20">
        <f t="shared" si="6"/>
        <v>1777627.2300000002</v>
      </c>
      <c r="O58" s="20">
        <f t="shared" si="7"/>
        <v>1762942.5500000003</v>
      </c>
      <c r="P58" s="20">
        <f>N58+N74</f>
        <v>1791994.2300000002</v>
      </c>
    </row>
    <row r="59" spans="1:16" ht="12.75" x14ac:dyDescent="0.2">
      <c r="A59" s="32">
        <v>51</v>
      </c>
      <c r="B59" s="154" t="s">
        <v>143</v>
      </c>
      <c r="C59" s="33">
        <v>807</v>
      </c>
      <c r="D59" s="37" t="s">
        <v>57</v>
      </c>
      <c r="E59" s="37" t="s">
        <v>214</v>
      </c>
      <c r="F59" s="38"/>
      <c r="G59" s="138"/>
      <c r="H59" s="243">
        <f t="shared" si="15"/>
        <v>1628.6678499999998</v>
      </c>
      <c r="I59" s="243">
        <f t="shared" si="15"/>
        <v>1777.6272300000003</v>
      </c>
      <c r="J59" s="243">
        <f t="shared" si="15"/>
        <v>1762.9425500000002</v>
      </c>
      <c r="K59" s="165">
        <f t="shared" si="2"/>
        <v>99.173916794692659</v>
      </c>
      <c r="M59" s="20">
        <f t="shared" si="5"/>
        <v>1628667.8499999999</v>
      </c>
      <c r="N59" s="20">
        <f t="shared" si="6"/>
        <v>1777627.2300000002</v>
      </c>
      <c r="O59" s="20">
        <f t="shared" si="7"/>
        <v>1762942.5500000003</v>
      </c>
    </row>
    <row r="60" spans="1:16" ht="14.25" customHeight="1" x14ac:dyDescent="0.2">
      <c r="A60" s="32">
        <v>52</v>
      </c>
      <c r="B60" s="154" t="s">
        <v>224</v>
      </c>
      <c r="C60" s="36">
        <v>807</v>
      </c>
      <c r="D60" s="35" t="s">
        <v>57</v>
      </c>
      <c r="E60" s="35" t="s">
        <v>214</v>
      </c>
      <c r="F60" s="35" t="s">
        <v>106</v>
      </c>
      <c r="G60" s="35"/>
      <c r="H60" s="239">
        <f>SUM(H61:H73)</f>
        <v>1628.6678499999998</v>
      </c>
      <c r="I60" s="239">
        <f>SUM(I61:I73)</f>
        <v>1777.6272300000003</v>
      </c>
      <c r="J60" s="239">
        <f>SUM(J61:J73)</f>
        <v>1762.9425500000002</v>
      </c>
      <c r="K60" s="165">
        <f t="shared" si="2"/>
        <v>99.173916794692659</v>
      </c>
      <c r="M60" s="20">
        <f t="shared" si="5"/>
        <v>1628667.8499999999</v>
      </c>
      <c r="N60" s="20">
        <f t="shared" si="6"/>
        <v>1777627.2300000002</v>
      </c>
      <c r="O60" s="20">
        <f t="shared" si="7"/>
        <v>1762942.5500000003</v>
      </c>
    </row>
    <row r="61" spans="1:16" ht="12.75" x14ac:dyDescent="0.2">
      <c r="A61" s="32">
        <v>53</v>
      </c>
      <c r="B61" s="219" t="s">
        <v>32</v>
      </c>
      <c r="C61" s="36">
        <v>807</v>
      </c>
      <c r="D61" s="35" t="s">
        <v>57</v>
      </c>
      <c r="E61" s="35" t="s">
        <v>225</v>
      </c>
      <c r="F61" s="35" t="s">
        <v>67</v>
      </c>
      <c r="G61" s="35" t="s">
        <v>37</v>
      </c>
      <c r="H61" s="239">
        <v>1074.3047999999999</v>
      </c>
      <c r="I61" s="239">
        <v>1136.8981100000001</v>
      </c>
      <c r="J61" s="239">
        <v>1136.51838</v>
      </c>
      <c r="K61" s="165">
        <f t="shared" si="2"/>
        <v>99.966599469498632</v>
      </c>
      <c r="M61" s="20">
        <f t="shared" si="5"/>
        <v>1074304.7999999998</v>
      </c>
      <c r="N61" s="20">
        <f t="shared" si="6"/>
        <v>1136898.1100000001</v>
      </c>
      <c r="O61" s="20">
        <f t="shared" si="7"/>
        <v>1136518.3799999999</v>
      </c>
    </row>
    <row r="62" spans="1:16" ht="12.75" x14ac:dyDescent="0.2">
      <c r="A62" s="32">
        <v>54</v>
      </c>
      <c r="B62" s="219" t="s">
        <v>39</v>
      </c>
      <c r="C62" s="36">
        <v>807</v>
      </c>
      <c r="D62" s="35" t="s">
        <v>57</v>
      </c>
      <c r="E62" s="35" t="s">
        <v>225</v>
      </c>
      <c r="F62" s="35" t="s">
        <v>172</v>
      </c>
      <c r="G62" s="35" t="s">
        <v>38</v>
      </c>
      <c r="H62" s="239">
        <v>324.44004999999999</v>
      </c>
      <c r="I62" s="239">
        <v>343.84005000000002</v>
      </c>
      <c r="J62" s="239">
        <v>343.22858000000002</v>
      </c>
      <c r="K62" s="165">
        <f t="shared" si="2"/>
        <v>99.822164404641057</v>
      </c>
      <c r="M62" s="20">
        <f t="shared" si="5"/>
        <v>324440.05</v>
      </c>
      <c r="N62" s="20">
        <f t="shared" si="6"/>
        <v>343840.05000000005</v>
      </c>
      <c r="O62" s="20">
        <f t="shared" si="7"/>
        <v>343228.58</v>
      </c>
    </row>
    <row r="63" spans="1:16" ht="12.75" x14ac:dyDescent="0.2">
      <c r="A63" s="32">
        <v>55</v>
      </c>
      <c r="B63" s="219" t="s">
        <v>32</v>
      </c>
      <c r="C63" s="36">
        <v>807</v>
      </c>
      <c r="D63" s="35" t="s">
        <v>57</v>
      </c>
      <c r="E63" s="35" t="s">
        <v>455</v>
      </c>
      <c r="F63" s="35" t="s">
        <v>67</v>
      </c>
      <c r="G63" s="35" t="s">
        <v>37</v>
      </c>
      <c r="H63" s="239">
        <v>0</v>
      </c>
      <c r="I63" s="239">
        <v>35.941920000000003</v>
      </c>
      <c r="J63" s="239">
        <v>35.941920000000003</v>
      </c>
      <c r="K63" s="165">
        <f t="shared" si="2"/>
        <v>100</v>
      </c>
      <c r="M63" s="20">
        <f t="shared" si="5"/>
        <v>0</v>
      </c>
      <c r="N63" s="20">
        <f t="shared" si="6"/>
        <v>35941.920000000006</v>
      </c>
      <c r="O63" s="20">
        <f t="shared" si="7"/>
        <v>35941.920000000006</v>
      </c>
    </row>
    <row r="64" spans="1:16" ht="12.75" x14ac:dyDescent="0.2">
      <c r="A64" s="32">
        <v>56</v>
      </c>
      <c r="B64" s="219" t="s">
        <v>39</v>
      </c>
      <c r="C64" s="36">
        <v>807</v>
      </c>
      <c r="D64" s="35" t="s">
        <v>57</v>
      </c>
      <c r="E64" s="35" t="s">
        <v>455</v>
      </c>
      <c r="F64" s="35" t="s">
        <v>172</v>
      </c>
      <c r="G64" s="35" t="s">
        <v>38</v>
      </c>
      <c r="H64" s="239">
        <v>0</v>
      </c>
      <c r="I64" s="239">
        <v>10.85446</v>
      </c>
      <c r="J64" s="239">
        <v>10.85446</v>
      </c>
      <c r="K64" s="165">
        <f t="shared" si="2"/>
        <v>100</v>
      </c>
      <c r="M64" s="20">
        <f t="shared" si="5"/>
        <v>0</v>
      </c>
      <c r="N64" s="20">
        <f t="shared" si="6"/>
        <v>10854.46</v>
      </c>
      <c r="O64" s="20">
        <f t="shared" si="7"/>
        <v>10854.46</v>
      </c>
    </row>
    <row r="65" spans="1:15" ht="12.75" x14ac:dyDescent="0.2">
      <c r="A65" s="32">
        <v>57</v>
      </c>
      <c r="B65" s="219" t="s">
        <v>273</v>
      </c>
      <c r="C65" s="36">
        <v>807</v>
      </c>
      <c r="D65" s="35" t="s">
        <v>57</v>
      </c>
      <c r="E65" s="35" t="s">
        <v>225</v>
      </c>
      <c r="F65" s="35" t="s">
        <v>67</v>
      </c>
      <c r="G65" s="35" t="s">
        <v>274</v>
      </c>
      <c r="H65" s="239">
        <v>0</v>
      </c>
      <c r="I65" s="239">
        <v>1.64469</v>
      </c>
      <c r="J65" s="239">
        <v>1.64469</v>
      </c>
      <c r="K65" s="165">
        <f t="shared" si="2"/>
        <v>100</v>
      </c>
      <c r="M65" s="20">
        <f t="shared" si="5"/>
        <v>0</v>
      </c>
      <c r="N65" s="20">
        <f t="shared" si="6"/>
        <v>1644.69</v>
      </c>
      <c r="O65" s="20">
        <f t="shared" si="7"/>
        <v>1644.69</v>
      </c>
    </row>
    <row r="66" spans="1:15" ht="12.75" x14ac:dyDescent="0.2">
      <c r="A66" s="32">
        <v>58</v>
      </c>
      <c r="B66" s="219" t="s">
        <v>33</v>
      </c>
      <c r="C66" s="36">
        <v>807</v>
      </c>
      <c r="D66" s="35" t="s">
        <v>57</v>
      </c>
      <c r="E66" s="35" t="s">
        <v>225</v>
      </c>
      <c r="F66" s="35" t="s">
        <v>68</v>
      </c>
      <c r="G66" s="35" t="s">
        <v>41</v>
      </c>
      <c r="H66" s="239">
        <v>55.475999999999999</v>
      </c>
      <c r="I66" s="239">
        <v>64.001000000000005</v>
      </c>
      <c r="J66" s="239">
        <v>51.297519999999999</v>
      </c>
      <c r="K66" s="165">
        <f t="shared" si="2"/>
        <v>80.151122638708756</v>
      </c>
      <c r="M66" s="20">
        <f t="shared" si="5"/>
        <v>55476</v>
      </c>
      <c r="N66" s="20">
        <f t="shared" si="6"/>
        <v>64001.000000000007</v>
      </c>
      <c r="O66" s="20">
        <f t="shared" si="7"/>
        <v>51297.52</v>
      </c>
    </row>
    <row r="67" spans="1:15" ht="12.75" x14ac:dyDescent="0.2">
      <c r="A67" s="32">
        <v>59</v>
      </c>
      <c r="B67" s="219" t="s">
        <v>43</v>
      </c>
      <c r="C67" s="36">
        <v>807</v>
      </c>
      <c r="D67" s="35" t="s">
        <v>57</v>
      </c>
      <c r="E67" s="35" t="s">
        <v>225</v>
      </c>
      <c r="F67" s="35" t="s">
        <v>68</v>
      </c>
      <c r="G67" s="35" t="s">
        <v>44</v>
      </c>
      <c r="H67" s="239">
        <v>6</v>
      </c>
      <c r="I67" s="239">
        <v>12</v>
      </c>
      <c r="J67" s="239">
        <v>12</v>
      </c>
      <c r="K67" s="165">
        <f t="shared" si="2"/>
        <v>100</v>
      </c>
      <c r="M67" s="20">
        <f t="shared" si="5"/>
        <v>6000</v>
      </c>
      <c r="N67" s="20">
        <f t="shared" si="6"/>
        <v>12000</v>
      </c>
      <c r="O67" s="20">
        <f t="shared" si="7"/>
        <v>12000</v>
      </c>
    </row>
    <row r="68" spans="1:15" ht="12.75" x14ac:dyDescent="0.2">
      <c r="A68" s="32">
        <v>60</v>
      </c>
      <c r="B68" s="219" t="s">
        <v>45</v>
      </c>
      <c r="C68" s="36">
        <v>807</v>
      </c>
      <c r="D68" s="35" t="s">
        <v>57</v>
      </c>
      <c r="E68" s="35" t="s">
        <v>225</v>
      </c>
      <c r="F68" s="35" t="s">
        <v>68</v>
      </c>
      <c r="G68" s="35" t="s">
        <v>46</v>
      </c>
      <c r="H68" s="239">
        <v>148.947</v>
      </c>
      <c r="I68" s="239">
        <v>149.547</v>
      </c>
      <c r="J68" s="239">
        <f>143.158+5.399</f>
        <v>148.55699999999999</v>
      </c>
      <c r="K68" s="165">
        <f t="shared" si="2"/>
        <v>99.338000762302144</v>
      </c>
      <c r="M68" s="20">
        <f t="shared" si="5"/>
        <v>148947</v>
      </c>
      <c r="N68" s="20">
        <f t="shared" si="6"/>
        <v>149547</v>
      </c>
      <c r="O68" s="20">
        <f t="shared" si="7"/>
        <v>148557</v>
      </c>
    </row>
    <row r="69" spans="1:15" ht="12.75" x14ac:dyDescent="0.2">
      <c r="A69" s="32">
        <v>61</v>
      </c>
      <c r="B69" s="219" t="s">
        <v>211</v>
      </c>
      <c r="C69" s="36">
        <v>807</v>
      </c>
      <c r="D69" s="35" t="s">
        <v>57</v>
      </c>
      <c r="E69" s="35" t="s">
        <v>225</v>
      </c>
      <c r="F69" s="35" t="s">
        <v>197</v>
      </c>
      <c r="G69" s="35" t="s">
        <v>210</v>
      </c>
      <c r="H69" s="239">
        <v>0</v>
      </c>
      <c r="I69" s="239">
        <v>0</v>
      </c>
      <c r="J69" s="239">
        <v>0</v>
      </c>
      <c r="K69" s="165">
        <v>0</v>
      </c>
      <c r="M69" s="20">
        <f t="shared" si="5"/>
        <v>0</v>
      </c>
      <c r="N69" s="20">
        <f t="shared" si="6"/>
        <v>0</v>
      </c>
      <c r="O69" s="20">
        <f t="shared" si="7"/>
        <v>0</v>
      </c>
    </row>
    <row r="70" spans="1:15" ht="12.75" x14ac:dyDescent="0.2">
      <c r="A70" s="32">
        <v>62</v>
      </c>
      <c r="B70" s="219" t="s">
        <v>35</v>
      </c>
      <c r="C70" s="36">
        <v>807</v>
      </c>
      <c r="D70" s="35" t="s">
        <v>57</v>
      </c>
      <c r="E70" s="35" t="s">
        <v>225</v>
      </c>
      <c r="F70" s="35" t="s">
        <v>68</v>
      </c>
      <c r="G70" s="35" t="s">
        <v>49</v>
      </c>
      <c r="H70" s="239">
        <v>0</v>
      </c>
      <c r="I70" s="239">
        <v>0</v>
      </c>
      <c r="J70" s="239">
        <v>0</v>
      </c>
      <c r="K70" s="165">
        <v>0</v>
      </c>
      <c r="M70" s="20">
        <f t="shared" si="5"/>
        <v>0</v>
      </c>
      <c r="N70" s="20">
        <f t="shared" si="6"/>
        <v>0</v>
      </c>
      <c r="O70" s="20">
        <f t="shared" si="7"/>
        <v>0</v>
      </c>
    </row>
    <row r="71" spans="1:15" ht="12.75" x14ac:dyDescent="0.2">
      <c r="A71" s="32">
        <v>63</v>
      </c>
      <c r="B71" s="219" t="s">
        <v>52</v>
      </c>
      <c r="C71" s="36">
        <v>807</v>
      </c>
      <c r="D71" s="35" t="s">
        <v>57</v>
      </c>
      <c r="E71" s="35" t="s">
        <v>225</v>
      </c>
      <c r="F71" s="35" t="s">
        <v>68</v>
      </c>
      <c r="G71" s="35" t="s">
        <v>40</v>
      </c>
      <c r="H71" s="239">
        <f>19.5</f>
        <v>19.5</v>
      </c>
      <c r="I71" s="239">
        <v>22.9</v>
      </c>
      <c r="J71" s="239">
        <v>22.9</v>
      </c>
      <c r="K71" s="165">
        <f t="shared" si="2"/>
        <v>100</v>
      </c>
      <c r="M71" s="20">
        <f t="shared" si="5"/>
        <v>19500</v>
      </c>
      <c r="N71" s="20">
        <f t="shared" si="6"/>
        <v>22900</v>
      </c>
      <c r="O71" s="20">
        <f t="shared" si="7"/>
        <v>22900</v>
      </c>
    </row>
    <row r="72" spans="1:15" ht="12.75" x14ac:dyDescent="0.2">
      <c r="A72" s="32">
        <v>64</v>
      </c>
      <c r="B72" s="219" t="s">
        <v>276</v>
      </c>
      <c r="C72" s="36">
        <v>807</v>
      </c>
      <c r="D72" s="35" t="s">
        <v>57</v>
      </c>
      <c r="E72" s="35" t="s">
        <v>263</v>
      </c>
      <c r="F72" s="35" t="s">
        <v>173</v>
      </c>
      <c r="G72" s="35" t="s">
        <v>275</v>
      </c>
      <c r="H72" s="239">
        <v>0</v>
      </c>
      <c r="I72" s="239">
        <v>0</v>
      </c>
      <c r="J72" s="239">
        <v>0</v>
      </c>
      <c r="K72" s="165">
        <v>0</v>
      </c>
      <c r="M72" s="20">
        <f t="shared" si="5"/>
        <v>0</v>
      </c>
      <c r="N72" s="20">
        <f t="shared" si="6"/>
        <v>0</v>
      </c>
      <c r="O72" s="20">
        <f t="shared" si="7"/>
        <v>0</v>
      </c>
    </row>
    <row r="73" spans="1:15" ht="12.75" x14ac:dyDescent="0.2">
      <c r="A73" s="32">
        <v>65</v>
      </c>
      <c r="B73" s="219" t="s">
        <v>401</v>
      </c>
      <c r="C73" s="36">
        <v>807</v>
      </c>
      <c r="D73" s="35" t="s">
        <v>57</v>
      </c>
      <c r="E73" s="35" t="s">
        <v>402</v>
      </c>
      <c r="F73" s="35" t="s">
        <v>173</v>
      </c>
      <c r="G73" s="35" t="s">
        <v>275</v>
      </c>
      <c r="H73" s="239">
        <v>0</v>
      </c>
      <c r="I73" s="239">
        <v>0</v>
      </c>
      <c r="J73" s="239">
        <v>0</v>
      </c>
      <c r="K73" s="165">
        <v>0</v>
      </c>
      <c r="M73" s="20">
        <f t="shared" si="5"/>
        <v>0</v>
      </c>
      <c r="N73" s="20">
        <f t="shared" si="6"/>
        <v>0</v>
      </c>
      <c r="O73" s="20">
        <f t="shared" si="7"/>
        <v>0</v>
      </c>
    </row>
    <row r="74" spans="1:15" ht="12.75" x14ac:dyDescent="0.2">
      <c r="A74" s="32">
        <v>66</v>
      </c>
      <c r="B74" s="44" t="s">
        <v>66</v>
      </c>
      <c r="C74" s="36">
        <v>807</v>
      </c>
      <c r="D74" s="35" t="s">
        <v>57</v>
      </c>
      <c r="E74" s="35" t="s">
        <v>175</v>
      </c>
      <c r="F74" s="138"/>
      <c r="G74" s="138"/>
      <c r="H74" s="245">
        <f>H75</f>
        <v>13.920999999999999</v>
      </c>
      <c r="I74" s="245">
        <f t="shared" ref="I74" si="16">I75</f>
        <v>14.367000000000001</v>
      </c>
      <c r="J74" s="246">
        <f>J75</f>
        <v>14.367000000000001</v>
      </c>
      <c r="K74" s="165">
        <f t="shared" si="2"/>
        <v>100</v>
      </c>
      <c r="M74" s="20">
        <f t="shared" si="5"/>
        <v>13921</v>
      </c>
      <c r="N74" s="20">
        <f t="shared" si="6"/>
        <v>14367</v>
      </c>
      <c r="O74" s="20">
        <f t="shared" si="7"/>
        <v>14367</v>
      </c>
    </row>
    <row r="75" spans="1:15" ht="12.75" customHeight="1" x14ac:dyDescent="0.2">
      <c r="A75" s="32">
        <v>67</v>
      </c>
      <c r="B75" s="219" t="s">
        <v>76</v>
      </c>
      <c r="C75" s="36">
        <v>807</v>
      </c>
      <c r="D75" s="35" t="s">
        <v>57</v>
      </c>
      <c r="E75" s="35" t="s">
        <v>175</v>
      </c>
      <c r="F75" s="35" t="s">
        <v>73</v>
      </c>
      <c r="G75" s="35"/>
      <c r="H75" s="239">
        <f>SUM(H76)</f>
        <v>13.920999999999999</v>
      </c>
      <c r="I75" s="239">
        <f t="shared" ref="I75" si="17">SUM(I76)</f>
        <v>14.367000000000001</v>
      </c>
      <c r="J75" s="242">
        <f>SUM(J76)</f>
        <v>14.367000000000001</v>
      </c>
      <c r="K75" s="165">
        <f t="shared" si="2"/>
        <v>100</v>
      </c>
      <c r="M75" s="20">
        <f t="shared" si="5"/>
        <v>13921</v>
      </c>
      <c r="N75" s="20">
        <f t="shared" si="6"/>
        <v>14367</v>
      </c>
      <c r="O75" s="20">
        <f t="shared" si="7"/>
        <v>14367</v>
      </c>
    </row>
    <row r="76" spans="1:15" ht="12.75" x14ac:dyDescent="0.2">
      <c r="A76" s="32">
        <v>68</v>
      </c>
      <c r="B76" s="219" t="s">
        <v>52</v>
      </c>
      <c r="C76" s="36">
        <v>807</v>
      </c>
      <c r="D76" s="35" t="s">
        <v>57</v>
      </c>
      <c r="E76" s="35" t="s">
        <v>175</v>
      </c>
      <c r="F76" s="35" t="s">
        <v>68</v>
      </c>
      <c r="G76" s="35" t="s">
        <v>40</v>
      </c>
      <c r="H76" s="239">
        <v>13.920999999999999</v>
      </c>
      <c r="I76" s="239">
        <v>14.367000000000001</v>
      </c>
      <c r="J76" s="239">
        <v>14.367000000000001</v>
      </c>
      <c r="K76" s="165">
        <f t="shared" si="2"/>
        <v>100</v>
      </c>
      <c r="M76" s="20">
        <f t="shared" si="5"/>
        <v>13921</v>
      </c>
      <c r="N76" s="20">
        <f t="shared" si="6"/>
        <v>14367</v>
      </c>
      <c r="O76" s="20">
        <f t="shared" si="7"/>
        <v>14367</v>
      </c>
    </row>
    <row r="77" spans="1:15" ht="12.75" x14ac:dyDescent="0.2">
      <c r="A77" s="32">
        <v>69</v>
      </c>
      <c r="B77" s="167" t="s">
        <v>146</v>
      </c>
      <c r="C77" s="168">
        <v>807</v>
      </c>
      <c r="D77" s="168" t="s">
        <v>147</v>
      </c>
      <c r="E77" s="35"/>
      <c r="F77" s="35"/>
      <c r="G77" s="35"/>
      <c r="H77" s="239">
        <f>H78</f>
        <v>432.00000000000006</v>
      </c>
      <c r="I77" s="239">
        <f t="shared" ref="I77:J77" si="18">I78</f>
        <v>450.26599999999996</v>
      </c>
      <c r="J77" s="239">
        <f t="shared" si="18"/>
        <v>450.26599999999996</v>
      </c>
      <c r="K77" s="165">
        <f t="shared" si="2"/>
        <v>100</v>
      </c>
      <c r="M77" s="20">
        <f t="shared" ref="M77:M142" si="19">H77*1000</f>
        <v>432000.00000000006</v>
      </c>
      <c r="N77" s="20">
        <f t="shared" ref="N77:N142" si="20">I77*1000</f>
        <v>450265.99999999994</v>
      </c>
      <c r="O77" s="20">
        <f t="shared" ref="O77:O142" si="21">J77*1000</f>
        <v>450265.99999999994</v>
      </c>
    </row>
    <row r="78" spans="1:15" ht="12.75" x14ac:dyDescent="0.2">
      <c r="A78" s="32">
        <v>70</v>
      </c>
      <c r="B78" s="45" t="s">
        <v>148</v>
      </c>
      <c r="C78" s="46" t="s">
        <v>129</v>
      </c>
      <c r="D78" s="47" t="s">
        <v>29</v>
      </c>
      <c r="E78" s="35"/>
      <c r="F78" s="35"/>
      <c r="G78" s="35"/>
      <c r="H78" s="239">
        <f>H79</f>
        <v>432.00000000000006</v>
      </c>
      <c r="I78" s="239">
        <f>I79</f>
        <v>450.26599999999996</v>
      </c>
      <c r="J78" s="242">
        <f t="shared" ref="J78:J79" si="22">J79</f>
        <v>450.26599999999996</v>
      </c>
      <c r="K78" s="165">
        <f t="shared" si="2"/>
        <v>100</v>
      </c>
      <c r="M78" s="20">
        <f t="shared" si="19"/>
        <v>432000.00000000006</v>
      </c>
      <c r="N78" s="20">
        <f t="shared" si="20"/>
        <v>450265.99999999994</v>
      </c>
      <c r="O78" s="20">
        <f t="shared" si="21"/>
        <v>450265.99999999994</v>
      </c>
    </row>
    <row r="79" spans="1:15" ht="25.5" x14ac:dyDescent="0.2">
      <c r="A79" s="32">
        <v>71</v>
      </c>
      <c r="B79" s="169" t="s">
        <v>21</v>
      </c>
      <c r="C79" s="36">
        <v>807</v>
      </c>
      <c r="D79" s="35" t="s">
        <v>29</v>
      </c>
      <c r="E79" s="35" t="s">
        <v>176</v>
      </c>
      <c r="F79" s="35"/>
      <c r="G79" s="35"/>
      <c r="H79" s="239">
        <f>H80</f>
        <v>432.00000000000006</v>
      </c>
      <c r="I79" s="239">
        <f>I80</f>
        <v>450.26599999999996</v>
      </c>
      <c r="J79" s="242">
        <f t="shared" si="22"/>
        <v>450.26599999999996</v>
      </c>
      <c r="K79" s="165">
        <f t="shared" si="2"/>
        <v>100</v>
      </c>
      <c r="M79" s="20">
        <f t="shared" si="19"/>
        <v>432000.00000000006</v>
      </c>
      <c r="N79" s="20">
        <f t="shared" si="20"/>
        <v>450265.99999999994</v>
      </c>
      <c r="O79" s="20">
        <f t="shared" si="21"/>
        <v>450265.99999999994</v>
      </c>
    </row>
    <row r="80" spans="1:15" ht="12.75" x14ac:dyDescent="0.2">
      <c r="A80" s="32">
        <v>72</v>
      </c>
      <c r="B80" s="219" t="s">
        <v>145</v>
      </c>
      <c r="C80" s="36">
        <v>807</v>
      </c>
      <c r="D80" s="35" t="s">
        <v>29</v>
      </c>
      <c r="E80" s="35" t="s">
        <v>176</v>
      </c>
      <c r="F80" s="35" t="s">
        <v>74</v>
      </c>
      <c r="G80" s="35"/>
      <c r="H80" s="239">
        <f>SUM(H81:H87)</f>
        <v>432.00000000000006</v>
      </c>
      <c r="I80" s="239">
        <f>SUM(I81:I87)</f>
        <v>450.26599999999996</v>
      </c>
      <c r="J80" s="239">
        <f t="shared" ref="J80" si="23">SUM(J81:J87)</f>
        <v>450.26599999999996</v>
      </c>
      <c r="K80" s="165">
        <f t="shared" si="2"/>
        <v>100</v>
      </c>
      <c r="M80" s="20">
        <f t="shared" si="19"/>
        <v>432000.00000000006</v>
      </c>
      <c r="N80" s="20">
        <f t="shared" si="20"/>
        <v>450265.99999999994</v>
      </c>
      <c r="O80" s="20">
        <f t="shared" si="21"/>
        <v>450265.99999999994</v>
      </c>
    </row>
    <row r="81" spans="1:15" ht="15.75" customHeight="1" x14ac:dyDescent="0.2">
      <c r="A81" s="32">
        <v>73</v>
      </c>
      <c r="B81" s="219" t="s">
        <v>32</v>
      </c>
      <c r="C81" s="36">
        <v>807</v>
      </c>
      <c r="D81" s="35" t="s">
        <v>29</v>
      </c>
      <c r="E81" s="35" t="s">
        <v>176</v>
      </c>
      <c r="F81" s="35" t="s">
        <v>67</v>
      </c>
      <c r="G81" s="35" t="s">
        <v>37</v>
      </c>
      <c r="H81" s="239">
        <v>293.92320000000001</v>
      </c>
      <c r="I81" s="239">
        <v>322.76648999999998</v>
      </c>
      <c r="J81" s="239">
        <v>322.76648999999998</v>
      </c>
      <c r="K81" s="165">
        <f t="shared" si="2"/>
        <v>100</v>
      </c>
      <c r="M81" s="20">
        <f t="shared" si="19"/>
        <v>293923.20000000001</v>
      </c>
      <c r="N81" s="20">
        <f t="shared" si="20"/>
        <v>322766.49</v>
      </c>
      <c r="O81" s="20">
        <f t="shared" si="21"/>
        <v>322766.49</v>
      </c>
    </row>
    <row r="82" spans="1:15" ht="12.75" x14ac:dyDescent="0.2">
      <c r="A82" s="32">
        <v>74</v>
      </c>
      <c r="B82" s="219" t="s">
        <v>39</v>
      </c>
      <c r="C82" s="36">
        <v>807</v>
      </c>
      <c r="D82" s="35" t="s">
        <v>29</v>
      </c>
      <c r="E82" s="35" t="s">
        <v>176</v>
      </c>
      <c r="F82" s="35" t="s">
        <v>172</v>
      </c>
      <c r="G82" s="35" t="s">
        <v>38</v>
      </c>
      <c r="H82" s="239">
        <v>88.764809999999997</v>
      </c>
      <c r="I82" s="239">
        <v>96.223100000000002</v>
      </c>
      <c r="J82" s="239">
        <v>96.223100000000002</v>
      </c>
      <c r="K82" s="165">
        <f t="shared" si="2"/>
        <v>100</v>
      </c>
      <c r="M82" s="20">
        <f t="shared" si="19"/>
        <v>88764.81</v>
      </c>
      <c r="N82" s="20">
        <f t="shared" si="20"/>
        <v>96223.1</v>
      </c>
      <c r="O82" s="20">
        <f t="shared" si="21"/>
        <v>96223.1</v>
      </c>
    </row>
    <row r="83" spans="1:15" ht="12.75" x14ac:dyDescent="0.2">
      <c r="A83" s="32">
        <v>75</v>
      </c>
      <c r="B83" s="219" t="s">
        <v>33</v>
      </c>
      <c r="C83" s="36">
        <v>807</v>
      </c>
      <c r="D83" s="35" t="s">
        <v>29</v>
      </c>
      <c r="E83" s="35" t="s">
        <v>176</v>
      </c>
      <c r="F83" s="35" t="s">
        <v>68</v>
      </c>
      <c r="G83" s="35" t="s">
        <v>41</v>
      </c>
      <c r="H83" s="239">
        <v>7.8</v>
      </c>
      <c r="I83" s="239">
        <v>4.6100000000000003</v>
      </c>
      <c r="J83" s="239">
        <v>4.6100000000000003</v>
      </c>
      <c r="K83" s="165">
        <f t="shared" si="2"/>
        <v>100</v>
      </c>
      <c r="M83" s="20">
        <f t="shared" si="19"/>
        <v>7800</v>
      </c>
      <c r="N83" s="20">
        <f t="shared" si="20"/>
        <v>4610</v>
      </c>
      <c r="O83" s="20">
        <f t="shared" si="21"/>
        <v>4610</v>
      </c>
    </row>
    <row r="84" spans="1:15" ht="12.75" x14ac:dyDescent="0.2">
      <c r="A84" s="32">
        <v>76</v>
      </c>
      <c r="B84" s="219" t="s">
        <v>43</v>
      </c>
      <c r="C84" s="36">
        <v>807</v>
      </c>
      <c r="D84" s="35" t="s">
        <v>29</v>
      </c>
      <c r="E84" s="35" t="s">
        <v>176</v>
      </c>
      <c r="F84" s="35" t="s">
        <v>68</v>
      </c>
      <c r="G84" s="35" t="s">
        <v>44</v>
      </c>
      <c r="H84" s="239">
        <v>1</v>
      </c>
      <c r="I84" s="239">
        <v>1.55</v>
      </c>
      <c r="J84" s="239">
        <v>1.55</v>
      </c>
      <c r="K84" s="165">
        <f t="shared" si="2"/>
        <v>100</v>
      </c>
      <c r="M84" s="20">
        <f t="shared" si="19"/>
        <v>1000</v>
      </c>
      <c r="N84" s="20">
        <f t="shared" si="20"/>
        <v>1550</v>
      </c>
      <c r="O84" s="20">
        <f t="shared" si="21"/>
        <v>1550</v>
      </c>
    </row>
    <row r="85" spans="1:15" ht="12.75" x14ac:dyDescent="0.2">
      <c r="A85" s="32">
        <v>77</v>
      </c>
      <c r="B85" s="219" t="s">
        <v>45</v>
      </c>
      <c r="C85" s="36">
        <v>807</v>
      </c>
      <c r="D85" s="35" t="s">
        <v>29</v>
      </c>
      <c r="E85" s="35" t="s">
        <v>176</v>
      </c>
      <c r="F85" s="35" t="s">
        <v>68</v>
      </c>
      <c r="G85" s="35" t="s">
        <v>46</v>
      </c>
      <c r="H85" s="239">
        <v>0</v>
      </c>
      <c r="I85" s="239">
        <v>0</v>
      </c>
      <c r="J85" s="239">
        <v>0</v>
      </c>
      <c r="K85" s="165">
        <v>0</v>
      </c>
      <c r="M85" s="20">
        <f t="shared" si="19"/>
        <v>0</v>
      </c>
      <c r="N85" s="20">
        <f t="shared" si="20"/>
        <v>0</v>
      </c>
      <c r="O85" s="20">
        <f t="shared" si="21"/>
        <v>0</v>
      </c>
    </row>
    <row r="86" spans="1:15" ht="12.75" x14ac:dyDescent="0.2">
      <c r="A86" s="32">
        <v>78</v>
      </c>
      <c r="B86" s="219" t="s">
        <v>35</v>
      </c>
      <c r="C86" s="36">
        <v>807</v>
      </c>
      <c r="D86" s="35" t="s">
        <v>29</v>
      </c>
      <c r="E86" s="35" t="s">
        <v>176</v>
      </c>
      <c r="F86" s="35" t="s">
        <v>68</v>
      </c>
      <c r="G86" s="35" t="s">
        <v>49</v>
      </c>
      <c r="H86" s="239">
        <v>35.5</v>
      </c>
      <c r="I86" s="239">
        <v>19.116409999999998</v>
      </c>
      <c r="J86" s="239">
        <v>19.116409999999998</v>
      </c>
      <c r="K86" s="165">
        <f t="shared" si="2"/>
        <v>100</v>
      </c>
      <c r="M86" s="20">
        <f t="shared" si="19"/>
        <v>35500</v>
      </c>
      <c r="N86" s="20">
        <f t="shared" si="20"/>
        <v>19116.41</v>
      </c>
      <c r="O86" s="20">
        <f t="shared" si="21"/>
        <v>19116.41</v>
      </c>
    </row>
    <row r="87" spans="1:15" ht="12.75" x14ac:dyDescent="0.2">
      <c r="A87" s="32">
        <v>79</v>
      </c>
      <c r="B87" s="219" t="s">
        <v>52</v>
      </c>
      <c r="C87" s="36">
        <v>807</v>
      </c>
      <c r="D87" s="35" t="s">
        <v>29</v>
      </c>
      <c r="E87" s="35" t="s">
        <v>176</v>
      </c>
      <c r="F87" s="35" t="s">
        <v>68</v>
      </c>
      <c r="G87" s="35" t="s">
        <v>40</v>
      </c>
      <c r="H87" s="239">
        <v>5.0119899999999999</v>
      </c>
      <c r="I87" s="239">
        <v>6</v>
      </c>
      <c r="J87" s="239">
        <v>6</v>
      </c>
      <c r="K87" s="165">
        <f t="shared" si="2"/>
        <v>100</v>
      </c>
      <c r="M87" s="20">
        <f t="shared" si="19"/>
        <v>5011.99</v>
      </c>
      <c r="N87" s="20">
        <f t="shared" si="20"/>
        <v>6000</v>
      </c>
      <c r="O87" s="20">
        <f t="shared" si="21"/>
        <v>6000</v>
      </c>
    </row>
    <row r="88" spans="1:15" ht="25.5" x14ac:dyDescent="0.2">
      <c r="A88" s="32">
        <v>80</v>
      </c>
      <c r="B88" s="42" t="s">
        <v>186</v>
      </c>
      <c r="C88" s="46" t="s">
        <v>129</v>
      </c>
      <c r="D88" s="47" t="s">
        <v>195</v>
      </c>
      <c r="E88" s="35"/>
      <c r="F88" s="35"/>
      <c r="G88" s="35"/>
      <c r="H88" s="239">
        <f>H89+H96</f>
        <v>23</v>
      </c>
      <c r="I88" s="239">
        <f>I89+I96</f>
        <v>260.89499999999998</v>
      </c>
      <c r="J88" s="239">
        <f>J89+J96</f>
        <v>258.61500000000001</v>
      </c>
      <c r="K88" s="165">
        <f t="shared" si="2"/>
        <v>99.126085206692366</v>
      </c>
      <c r="M88" s="20">
        <f t="shared" si="19"/>
        <v>23000</v>
      </c>
      <c r="N88" s="20">
        <f t="shared" si="20"/>
        <v>260894.99999999997</v>
      </c>
      <c r="O88" s="20">
        <f t="shared" si="21"/>
        <v>258615</v>
      </c>
    </row>
    <row r="89" spans="1:15" ht="38.25" x14ac:dyDescent="0.2">
      <c r="A89" s="32">
        <v>81</v>
      </c>
      <c r="B89" s="170" t="s">
        <v>439</v>
      </c>
      <c r="C89" s="36">
        <v>807</v>
      </c>
      <c r="D89" s="47" t="s">
        <v>187</v>
      </c>
      <c r="E89" s="35"/>
      <c r="F89" s="35"/>
      <c r="G89" s="35"/>
      <c r="H89" s="239">
        <f>H90</f>
        <v>0</v>
      </c>
      <c r="I89" s="239">
        <f>I90</f>
        <v>237.89500000000001</v>
      </c>
      <c r="J89" s="239">
        <f>J90</f>
        <v>237.89500000000001</v>
      </c>
      <c r="K89" s="165">
        <f t="shared" si="2"/>
        <v>100</v>
      </c>
      <c r="M89" s="20">
        <f t="shared" si="19"/>
        <v>0</v>
      </c>
      <c r="N89" s="20">
        <f t="shared" si="20"/>
        <v>237895</v>
      </c>
      <c r="O89" s="20">
        <f t="shared" si="21"/>
        <v>237895</v>
      </c>
    </row>
    <row r="90" spans="1:15" ht="12.75" x14ac:dyDescent="0.2">
      <c r="A90" s="32">
        <v>82</v>
      </c>
      <c r="B90" s="171" t="s">
        <v>207</v>
      </c>
      <c r="C90" s="36">
        <v>807</v>
      </c>
      <c r="D90" s="47" t="s">
        <v>187</v>
      </c>
      <c r="E90" s="35" t="s">
        <v>196</v>
      </c>
      <c r="F90" s="35" t="s">
        <v>73</v>
      </c>
      <c r="G90" s="35"/>
      <c r="H90" s="239">
        <f>SUM(H91:H95)</f>
        <v>0</v>
      </c>
      <c r="I90" s="239">
        <f>SUM(I91:I95)</f>
        <v>237.89500000000001</v>
      </c>
      <c r="J90" s="239">
        <f t="shared" ref="J90" si="24">SUM(J91:J95)</f>
        <v>237.89500000000001</v>
      </c>
      <c r="K90" s="165">
        <f t="shared" si="2"/>
        <v>100</v>
      </c>
      <c r="M90" s="20">
        <f t="shared" si="19"/>
        <v>0</v>
      </c>
      <c r="N90" s="20">
        <f t="shared" si="20"/>
        <v>237895</v>
      </c>
      <c r="O90" s="20">
        <f t="shared" si="21"/>
        <v>237895</v>
      </c>
    </row>
    <row r="91" spans="1:15" ht="12.75" x14ac:dyDescent="0.2">
      <c r="A91" s="32">
        <v>83</v>
      </c>
      <c r="B91" s="219" t="s">
        <v>43</v>
      </c>
      <c r="C91" s="36">
        <v>807</v>
      </c>
      <c r="D91" s="47" t="s">
        <v>187</v>
      </c>
      <c r="E91" s="35" t="s">
        <v>235</v>
      </c>
      <c r="F91" s="35" t="s">
        <v>68</v>
      </c>
      <c r="G91" s="35" t="s">
        <v>185</v>
      </c>
      <c r="H91" s="239">
        <v>0</v>
      </c>
      <c r="I91" s="239">
        <v>216.02500000000001</v>
      </c>
      <c r="J91" s="239">
        <v>216.02500000000001</v>
      </c>
      <c r="K91" s="165">
        <f t="shared" ref="K91:K153" si="25">J91/I91*100</f>
        <v>100</v>
      </c>
      <c r="M91" s="20">
        <f t="shared" si="19"/>
        <v>0</v>
      </c>
      <c r="N91" s="20">
        <f t="shared" si="20"/>
        <v>216025</v>
      </c>
      <c r="O91" s="20">
        <f t="shared" si="21"/>
        <v>216025</v>
      </c>
    </row>
    <row r="92" spans="1:15" ht="12.75" x14ac:dyDescent="0.2">
      <c r="A92" s="32">
        <v>84</v>
      </c>
      <c r="B92" s="219" t="s">
        <v>230</v>
      </c>
      <c r="C92" s="36">
        <v>807</v>
      </c>
      <c r="D92" s="47" t="s">
        <v>187</v>
      </c>
      <c r="E92" s="35" t="s">
        <v>235</v>
      </c>
      <c r="F92" s="35" t="s">
        <v>68</v>
      </c>
      <c r="G92" s="35" t="s">
        <v>44</v>
      </c>
      <c r="H92" s="239">
        <v>0</v>
      </c>
      <c r="I92" s="239">
        <v>11.37</v>
      </c>
      <c r="J92" s="239">
        <v>11.37</v>
      </c>
      <c r="K92" s="165">
        <f t="shared" si="25"/>
        <v>100</v>
      </c>
      <c r="M92" s="20">
        <f t="shared" si="19"/>
        <v>0</v>
      </c>
      <c r="N92" s="20">
        <f t="shared" si="20"/>
        <v>11370</v>
      </c>
      <c r="O92" s="20">
        <f t="shared" si="21"/>
        <v>11370</v>
      </c>
    </row>
    <row r="93" spans="1:15" ht="12.75" x14ac:dyDescent="0.2">
      <c r="A93" s="32">
        <v>85</v>
      </c>
      <c r="B93" s="219" t="s">
        <v>35</v>
      </c>
      <c r="C93" s="36">
        <v>807</v>
      </c>
      <c r="D93" s="47" t="s">
        <v>187</v>
      </c>
      <c r="E93" s="35" t="s">
        <v>235</v>
      </c>
      <c r="F93" s="35" t="s">
        <v>68</v>
      </c>
      <c r="G93" s="35" t="s">
        <v>49</v>
      </c>
      <c r="H93" s="239">
        <v>0</v>
      </c>
      <c r="I93" s="239">
        <v>0</v>
      </c>
      <c r="J93" s="239">
        <v>0</v>
      </c>
      <c r="K93" s="165">
        <v>0</v>
      </c>
      <c r="M93" s="20">
        <f t="shared" si="19"/>
        <v>0</v>
      </c>
      <c r="N93" s="20">
        <f t="shared" si="20"/>
        <v>0</v>
      </c>
      <c r="O93" s="20">
        <f t="shared" si="21"/>
        <v>0</v>
      </c>
    </row>
    <row r="94" spans="1:15" ht="12.75" x14ac:dyDescent="0.2">
      <c r="A94" s="32">
        <v>86</v>
      </c>
      <c r="B94" s="219" t="s">
        <v>52</v>
      </c>
      <c r="C94" s="36">
        <v>807</v>
      </c>
      <c r="D94" s="47" t="s">
        <v>187</v>
      </c>
      <c r="E94" s="35" t="s">
        <v>235</v>
      </c>
      <c r="F94" s="35" t="s">
        <v>68</v>
      </c>
      <c r="G94" s="35" t="s">
        <v>185</v>
      </c>
      <c r="H94" s="239">
        <v>0</v>
      </c>
      <c r="I94" s="239">
        <v>9.9749999999999996</v>
      </c>
      <c r="J94" s="239">
        <v>9.9749999999999996</v>
      </c>
      <c r="K94" s="165">
        <f t="shared" si="25"/>
        <v>100</v>
      </c>
      <c r="M94" s="20">
        <f t="shared" si="19"/>
        <v>0</v>
      </c>
      <c r="N94" s="20">
        <f t="shared" si="20"/>
        <v>9975</v>
      </c>
      <c r="O94" s="20">
        <f t="shared" si="21"/>
        <v>9975</v>
      </c>
    </row>
    <row r="95" spans="1:15" ht="12.75" x14ac:dyDescent="0.2">
      <c r="A95" s="32">
        <v>87</v>
      </c>
      <c r="B95" s="219" t="s">
        <v>456</v>
      </c>
      <c r="C95" s="36">
        <v>807</v>
      </c>
      <c r="D95" s="47" t="s">
        <v>187</v>
      </c>
      <c r="E95" s="35" t="s">
        <v>235</v>
      </c>
      <c r="F95" s="35" t="s">
        <v>68</v>
      </c>
      <c r="G95" s="35" t="s">
        <v>40</v>
      </c>
      <c r="H95" s="239">
        <v>0</v>
      </c>
      <c r="I95" s="239">
        <v>0.52500000000000002</v>
      </c>
      <c r="J95" s="239">
        <v>0.52500000000000002</v>
      </c>
      <c r="K95" s="165">
        <f t="shared" si="25"/>
        <v>100</v>
      </c>
      <c r="M95" s="20">
        <f t="shared" si="19"/>
        <v>0</v>
      </c>
      <c r="N95" s="20">
        <f t="shared" si="20"/>
        <v>525</v>
      </c>
      <c r="O95" s="20">
        <f t="shared" si="21"/>
        <v>525</v>
      </c>
    </row>
    <row r="96" spans="1:15" ht="25.5" x14ac:dyDescent="0.2">
      <c r="A96" s="32">
        <v>88</v>
      </c>
      <c r="B96" s="48" t="s">
        <v>231</v>
      </c>
      <c r="C96" s="36">
        <v>807</v>
      </c>
      <c r="D96" s="47" t="s">
        <v>232</v>
      </c>
      <c r="E96" s="35"/>
      <c r="F96" s="35"/>
      <c r="G96" s="35"/>
      <c r="H96" s="239">
        <f>H97+H99</f>
        <v>23</v>
      </c>
      <c r="I96" s="239">
        <f t="shared" ref="I96:J96" si="26">I97+I99</f>
        <v>23</v>
      </c>
      <c r="J96" s="239">
        <f t="shared" si="26"/>
        <v>20.72</v>
      </c>
      <c r="K96" s="165">
        <f t="shared" si="25"/>
        <v>90.086956521739125</v>
      </c>
      <c r="M96" s="20">
        <f t="shared" si="19"/>
        <v>23000</v>
      </c>
      <c r="N96" s="20">
        <f t="shared" si="20"/>
        <v>23000</v>
      </c>
      <c r="O96" s="20">
        <f t="shared" si="21"/>
        <v>20720</v>
      </c>
    </row>
    <row r="97" spans="1:15" ht="12.75" x14ac:dyDescent="0.2">
      <c r="A97" s="32">
        <v>89</v>
      </c>
      <c r="B97" s="219" t="s">
        <v>76</v>
      </c>
      <c r="C97" s="36">
        <v>807</v>
      </c>
      <c r="D97" s="47" t="s">
        <v>232</v>
      </c>
      <c r="E97" s="35" t="s">
        <v>233</v>
      </c>
      <c r="F97" s="35" t="s">
        <v>73</v>
      </c>
      <c r="G97" s="35"/>
      <c r="H97" s="239">
        <f>SUM(H98)</f>
        <v>22</v>
      </c>
      <c r="I97" s="239">
        <f>SUM(I98)</f>
        <v>22</v>
      </c>
      <c r="J97" s="239">
        <f>SUM(J98)</f>
        <v>19.72</v>
      </c>
      <c r="K97" s="165">
        <f t="shared" si="25"/>
        <v>89.63636363636364</v>
      </c>
      <c r="M97" s="20">
        <f t="shared" si="19"/>
        <v>22000</v>
      </c>
      <c r="N97" s="20">
        <f t="shared" si="20"/>
        <v>22000</v>
      </c>
      <c r="O97" s="20">
        <f t="shared" si="21"/>
        <v>19720</v>
      </c>
    </row>
    <row r="98" spans="1:15" ht="12.75" x14ac:dyDescent="0.2">
      <c r="A98" s="32">
        <v>90</v>
      </c>
      <c r="B98" s="219" t="s">
        <v>209</v>
      </c>
      <c r="C98" s="36">
        <v>807</v>
      </c>
      <c r="D98" s="47" t="s">
        <v>232</v>
      </c>
      <c r="E98" s="35" t="s">
        <v>233</v>
      </c>
      <c r="F98" s="35" t="s">
        <v>68</v>
      </c>
      <c r="G98" s="35" t="s">
        <v>208</v>
      </c>
      <c r="H98" s="239">
        <v>22</v>
      </c>
      <c r="I98" s="239">
        <v>22</v>
      </c>
      <c r="J98" s="242">
        <v>19.72</v>
      </c>
      <c r="K98" s="165">
        <f t="shared" si="25"/>
        <v>89.63636363636364</v>
      </c>
      <c r="M98" s="20">
        <f t="shared" si="19"/>
        <v>22000</v>
      </c>
      <c r="N98" s="20">
        <f t="shared" si="20"/>
        <v>22000</v>
      </c>
      <c r="O98" s="20">
        <f t="shared" si="21"/>
        <v>19720</v>
      </c>
    </row>
    <row r="99" spans="1:15" ht="63.75" x14ac:dyDescent="0.2">
      <c r="A99" s="32">
        <v>91</v>
      </c>
      <c r="B99" s="219" t="s">
        <v>438</v>
      </c>
      <c r="C99" s="36">
        <v>807</v>
      </c>
      <c r="D99" s="47" t="s">
        <v>232</v>
      </c>
      <c r="E99" s="35" t="s">
        <v>404</v>
      </c>
      <c r="F99" s="35"/>
      <c r="G99" s="35"/>
      <c r="H99" s="239">
        <f>H100</f>
        <v>1</v>
      </c>
      <c r="I99" s="239">
        <f>I100</f>
        <v>1</v>
      </c>
      <c r="J99" s="239">
        <f>J100</f>
        <v>1</v>
      </c>
      <c r="K99" s="165">
        <f t="shared" si="25"/>
        <v>100</v>
      </c>
      <c r="M99" s="20">
        <f t="shared" si="19"/>
        <v>1000</v>
      </c>
      <c r="N99" s="20">
        <f t="shared" si="20"/>
        <v>1000</v>
      </c>
      <c r="O99" s="20">
        <f t="shared" si="21"/>
        <v>1000</v>
      </c>
    </row>
    <row r="100" spans="1:15" ht="51" x14ac:dyDescent="0.2">
      <c r="A100" s="32">
        <v>92</v>
      </c>
      <c r="B100" s="219" t="s">
        <v>406</v>
      </c>
      <c r="C100" s="36">
        <v>807</v>
      </c>
      <c r="D100" s="47" t="s">
        <v>232</v>
      </c>
      <c r="E100" s="35" t="s">
        <v>405</v>
      </c>
      <c r="F100" s="35"/>
      <c r="G100" s="35"/>
      <c r="H100" s="239">
        <f>H101</f>
        <v>1</v>
      </c>
      <c r="I100" s="239">
        <f t="shared" ref="I100:J100" si="27">I101</f>
        <v>1</v>
      </c>
      <c r="J100" s="239">
        <f t="shared" si="27"/>
        <v>1</v>
      </c>
      <c r="K100" s="165">
        <f t="shared" si="25"/>
        <v>100</v>
      </c>
      <c r="M100" s="20">
        <f t="shared" si="19"/>
        <v>1000</v>
      </c>
      <c r="N100" s="20">
        <f t="shared" si="20"/>
        <v>1000</v>
      </c>
      <c r="O100" s="20">
        <f t="shared" si="21"/>
        <v>1000</v>
      </c>
    </row>
    <row r="101" spans="1:15" ht="12.75" x14ac:dyDescent="0.2">
      <c r="A101" s="32">
        <v>93</v>
      </c>
      <c r="B101" s="219" t="s">
        <v>52</v>
      </c>
      <c r="C101" s="36">
        <v>807</v>
      </c>
      <c r="D101" s="47" t="s">
        <v>232</v>
      </c>
      <c r="E101" s="35" t="s">
        <v>399</v>
      </c>
      <c r="F101" s="35" t="s">
        <v>68</v>
      </c>
      <c r="G101" s="35" t="s">
        <v>40</v>
      </c>
      <c r="H101" s="239">
        <v>1</v>
      </c>
      <c r="I101" s="239">
        <v>1</v>
      </c>
      <c r="J101" s="242">
        <v>1</v>
      </c>
      <c r="K101" s="165">
        <f t="shared" si="25"/>
        <v>100</v>
      </c>
      <c r="M101" s="20">
        <f t="shared" si="19"/>
        <v>1000</v>
      </c>
      <c r="N101" s="20">
        <f t="shared" si="20"/>
        <v>1000</v>
      </c>
      <c r="O101" s="20">
        <f t="shared" si="21"/>
        <v>1000</v>
      </c>
    </row>
    <row r="102" spans="1:15" ht="12.75" x14ac:dyDescent="0.2">
      <c r="A102" s="32">
        <v>94</v>
      </c>
      <c r="B102" s="172" t="s">
        <v>149</v>
      </c>
      <c r="C102" s="155">
        <v>807</v>
      </c>
      <c r="D102" s="155" t="s">
        <v>150</v>
      </c>
      <c r="E102" s="35"/>
      <c r="F102" s="35"/>
      <c r="G102" s="35"/>
      <c r="H102" s="239">
        <f>H103+H112</f>
        <v>798.29100000000005</v>
      </c>
      <c r="I102" s="239">
        <f t="shared" ref="I102:J102" si="28">I103+I112</f>
        <v>1195.71075</v>
      </c>
      <c r="J102" s="239">
        <f t="shared" si="28"/>
        <v>1074.49056</v>
      </c>
      <c r="K102" s="165">
        <f t="shared" si="25"/>
        <v>89.862080774970039</v>
      </c>
      <c r="M102" s="20">
        <f t="shared" si="19"/>
        <v>798291</v>
      </c>
      <c r="N102" s="20">
        <f t="shared" si="20"/>
        <v>1195710.75</v>
      </c>
      <c r="O102" s="20">
        <f t="shared" si="21"/>
        <v>1074490.56</v>
      </c>
    </row>
    <row r="103" spans="1:15" ht="12.75" x14ac:dyDescent="0.2">
      <c r="A103" s="32">
        <v>95</v>
      </c>
      <c r="B103" s="173" t="s">
        <v>151</v>
      </c>
      <c r="C103" s="155">
        <v>807</v>
      </c>
      <c r="D103" s="155" t="s">
        <v>58</v>
      </c>
      <c r="E103" s="35" t="s">
        <v>178</v>
      </c>
      <c r="F103" s="35"/>
      <c r="G103" s="35"/>
      <c r="H103" s="239">
        <f>H104</f>
        <v>798.29100000000005</v>
      </c>
      <c r="I103" s="242">
        <f>I104</f>
        <v>1195.71075</v>
      </c>
      <c r="J103" s="242">
        <f t="shared" ref="J103" si="29">J104</f>
        <v>1074.49056</v>
      </c>
      <c r="K103" s="165">
        <f t="shared" si="25"/>
        <v>89.862080774970039</v>
      </c>
      <c r="M103" s="20">
        <f t="shared" si="19"/>
        <v>798291</v>
      </c>
      <c r="N103" s="20">
        <f t="shared" si="20"/>
        <v>1195710.75</v>
      </c>
      <c r="O103" s="20">
        <f t="shared" si="21"/>
        <v>1074490.56</v>
      </c>
    </row>
    <row r="104" spans="1:15" ht="38.25" x14ac:dyDescent="0.2">
      <c r="A104" s="32">
        <v>96</v>
      </c>
      <c r="B104" s="170" t="s">
        <v>205</v>
      </c>
      <c r="C104" s="36">
        <v>807</v>
      </c>
      <c r="D104" s="35" t="s">
        <v>58</v>
      </c>
      <c r="E104" s="35" t="s">
        <v>178</v>
      </c>
      <c r="F104" s="35"/>
      <c r="G104" s="35"/>
      <c r="H104" s="239">
        <f>H105</f>
        <v>798.29100000000005</v>
      </c>
      <c r="I104" s="242">
        <f>I105</f>
        <v>1195.71075</v>
      </c>
      <c r="J104" s="242">
        <f>J105</f>
        <v>1074.49056</v>
      </c>
      <c r="K104" s="165">
        <f t="shared" si="25"/>
        <v>89.862080774970039</v>
      </c>
      <c r="M104" s="20">
        <f t="shared" si="19"/>
        <v>798291</v>
      </c>
      <c r="N104" s="20">
        <f t="shared" si="20"/>
        <v>1195710.75</v>
      </c>
      <c r="O104" s="20">
        <f t="shared" si="21"/>
        <v>1074490.56</v>
      </c>
    </row>
    <row r="105" spans="1:15" ht="38.25" x14ac:dyDescent="0.2">
      <c r="A105" s="32">
        <v>97</v>
      </c>
      <c r="B105" s="170" t="s">
        <v>77</v>
      </c>
      <c r="C105" s="36">
        <v>807</v>
      </c>
      <c r="D105" s="35" t="s">
        <v>58</v>
      </c>
      <c r="E105" s="35" t="s">
        <v>178</v>
      </c>
      <c r="F105" s="35" t="s">
        <v>73</v>
      </c>
      <c r="G105" s="35"/>
      <c r="H105" s="239">
        <f>SUM(H106:H111)</f>
        <v>798.29100000000005</v>
      </c>
      <c r="I105" s="239">
        <f t="shared" ref="I105:J105" si="30">SUM(I106:I111)</f>
        <v>1195.71075</v>
      </c>
      <c r="J105" s="239">
        <f t="shared" si="30"/>
        <v>1074.49056</v>
      </c>
      <c r="K105" s="165">
        <f t="shared" si="25"/>
        <v>89.862080774970039</v>
      </c>
      <c r="M105" s="20">
        <f t="shared" si="19"/>
        <v>798291</v>
      </c>
      <c r="N105" s="20">
        <f t="shared" si="20"/>
        <v>1195710.75</v>
      </c>
      <c r="O105" s="20">
        <f t="shared" si="21"/>
        <v>1074490.56</v>
      </c>
    </row>
    <row r="106" spans="1:15" ht="12.75" x14ac:dyDescent="0.2">
      <c r="A106" s="32">
        <v>98</v>
      </c>
      <c r="B106" s="219" t="s">
        <v>43</v>
      </c>
      <c r="C106" s="36">
        <v>807</v>
      </c>
      <c r="D106" s="35" t="s">
        <v>58</v>
      </c>
      <c r="E106" s="35" t="s">
        <v>178</v>
      </c>
      <c r="F106" s="35" t="s">
        <v>68</v>
      </c>
      <c r="G106" s="35" t="s">
        <v>44</v>
      </c>
      <c r="H106" s="239">
        <v>695.2</v>
      </c>
      <c r="I106" s="239">
        <v>751.90274999999997</v>
      </c>
      <c r="J106" s="239">
        <v>630.68255999999997</v>
      </c>
      <c r="K106" s="165">
        <f t="shared" si="25"/>
        <v>83.878208983808079</v>
      </c>
      <c r="M106" s="20">
        <f t="shared" si="19"/>
        <v>695200</v>
      </c>
      <c r="N106" s="20">
        <f t="shared" si="20"/>
        <v>751902.75</v>
      </c>
      <c r="O106" s="20">
        <f t="shared" si="21"/>
        <v>630682.55999999994</v>
      </c>
    </row>
    <row r="107" spans="1:15" ht="12.75" x14ac:dyDescent="0.2">
      <c r="A107" s="32">
        <v>99</v>
      </c>
      <c r="B107" s="219" t="s">
        <v>45</v>
      </c>
      <c r="C107" s="36">
        <v>807</v>
      </c>
      <c r="D107" s="35" t="s">
        <v>58</v>
      </c>
      <c r="E107" s="35" t="s">
        <v>178</v>
      </c>
      <c r="F107" s="35" t="s">
        <v>68</v>
      </c>
      <c r="G107" s="35" t="s">
        <v>46</v>
      </c>
      <c r="H107" s="239">
        <v>0</v>
      </c>
      <c r="I107" s="239">
        <v>0</v>
      </c>
      <c r="J107" s="239">
        <v>0</v>
      </c>
      <c r="K107" s="165">
        <v>0</v>
      </c>
      <c r="M107" s="20">
        <f t="shared" si="19"/>
        <v>0</v>
      </c>
      <c r="N107" s="20">
        <f t="shared" si="20"/>
        <v>0</v>
      </c>
      <c r="O107" s="20">
        <f t="shared" si="21"/>
        <v>0</v>
      </c>
    </row>
    <row r="108" spans="1:15" ht="12.75" x14ac:dyDescent="0.2">
      <c r="A108" s="32">
        <v>100</v>
      </c>
      <c r="B108" s="219" t="s">
        <v>35</v>
      </c>
      <c r="C108" s="36">
        <v>807</v>
      </c>
      <c r="D108" s="35" t="s">
        <v>58</v>
      </c>
      <c r="E108" s="35" t="s">
        <v>178</v>
      </c>
      <c r="F108" s="35" t="s">
        <v>68</v>
      </c>
      <c r="G108" s="35" t="s">
        <v>49</v>
      </c>
      <c r="H108" s="239">
        <v>0</v>
      </c>
      <c r="I108" s="239">
        <v>0</v>
      </c>
      <c r="J108" s="239">
        <v>0</v>
      </c>
      <c r="K108" s="165">
        <v>0</v>
      </c>
      <c r="M108" s="20">
        <f t="shared" si="19"/>
        <v>0</v>
      </c>
      <c r="N108" s="20">
        <f t="shared" si="20"/>
        <v>0</v>
      </c>
      <c r="O108" s="20">
        <f t="shared" si="21"/>
        <v>0</v>
      </c>
    </row>
    <row r="109" spans="1:15" ht="12.75" x14ac:dyDescent="0.2">
      <c r="A109" s="32">
        <v>101</v>
      </c>
      <c r="B109" s="219" t="s">
        <v>52</v>
      </c>
      <c r="C109" s="36">
        <v>807</v>
      </c>
      <c r="D109" s="35" t="s">
        <v>58</v>
      </c>
      <c r="E109" s="35" t="s">
        <v>178</v>
      </c>
      <c r="F109" s="35" t="s">
        <v>68</v>
      </c>
      <c r="G109" s="35" t="s">
        <v>40</v>
      </c>
      <c r="H109" s="239">
        <v>0</v>
      </c>
      <c r="I109" s="239">
        <v>0</v>
      </c>
      <c r="J109" s="239">
        <v>0</v>
      </c>
      <c r="K109" s="165">
        <v>0</v>
      </c>
      <c r="M109" s="20">
        <f t="shared" si="19"/>
        <v>0</v>
      </c>
      <c r="N109" s="20">
        <f t="shared" si="20"/>
        <v>0</v>
      </c>
      <c r="O109" s="20">
        <f t="shared" si="21"/>
        <v>0</v>
      </c>
    </row>
    <row r="110" spans="1:15" ht="12.75" x14ac:dyDescent="0.2">
      <c r="A110" s="32">
        <v>102</v>
      </c>
      <c r="B110" s="219" t="s">
        <v>43</v>
      </c>
      <c r="C110" s="36">
        <v>807</v>
      </c>
      <c r="D110" s="35" t="s">
        <v>58</v>
      </c>
      <c r="E110" s="35" t="s">
        <v>440</v>
      </c>
      <c r="F110" s="35" t="s">
        <v>68</v>
      </c>
      <c r="G110" s="35" t="s">
        <v>441</v>
      </c>
      <c r="H110" s="239">
        <v>103.09099999999999</v>
      </c>
      <c r="I110" s="239">
        <v>103.09099999999999</v>
      </c>
      <c r="J110" s="239">
        <v>103.09099999999999</v>
      </c>
      <c r="K110" s="165">
        <f t="shared" si="25"/>
        <v>100</v>
      </c>
      <c r="M110" s="20">
        <f t="shared" si="19"/>
        <v>103091</v>
      </c>
      <c r="N110" s="20">
        <f t="shared" si="20"/>
        <v>103091</v>
      </c>
      <c r="O110" s="20">
        <f t="shared" si="21"/>
        <v>103091</v>
      </c>
    </row>
    <row r="111" spans="1:15" ht="12.75" x14ac:dyDescent="0.2">
      <c r="A111" s="32">
        <v>103</v>
      </c>
      <c r="B111" s="219" t="s">
        <v>43</v>
      </c>
      <c r="C111" s="36">
        <v>807</v>
      </c>
      <c r="D111" s="35" t="s">
        <v>58</v>
      </c>
      <c r="E111" s="35" t="s">
        <v>457</v>
      </c>
      <c r="F111" s="35" t="s">
        <v>68</v>
      </c>
      <c r="G111" s="35" t="s">
        <v>447</v>
      </c>
      <c r="H111" s="239">
        <v>0</v>
      </c>
      <c r="I111" s="239">
        <v>340.71699999999998</v>
      </c>
      <c r="J111" s="239">
        <v>340.71699999999998</v>
      </c>
      <c r="K111" s="165">
        <f t="shared" si="25"/>
        <v>100</v>
      </c>
      <c r="M111" s="20">
        <f t="shared" si="19"/>
        <v>0</v>
      </c>
      <c r="N111" s="20">
        <f t="shared" si="20"/>
        <v>340717</v>
      </c>
      <c r="O111" s="20">
        <f t="shared" si="21"/>
        <v>340717</v>
      </c>
    </row>
    <row r="112" spans="1:15" ht="11.25" customHeight="1" x14ac:dyDescent="0.2">
      <c r="A112" s="32">
        <v>104</v>
      </c>
      <c r="B112" s="48" t="s">
        <v>264</v>
      </c>
      <c r="C112" s="36">
        <v>807</v>
      </c>
      <c r="D112" s="47" t="s">
        <v>262</v>
      </c>
      <c r="E112" s="35"/>
      <c r="F112" s="35"/>
      <c r="G112" s="35"/>
      <c r="H112" s="239">
        <f>H113</f>
        <v>0</v>
      </c>
      <c r="I112" s="239">
        <f>I113</f>
        <v>0</v>
      </c>
      <c r="J112" s="239">
        <f>J113</f>
        <v>0</v>
      </c>
      <c r="K112" s="165">
        <v>0</v>
      </c>
      <c r="M112" s="20">
        <f t="shared" si="19"/>
        <v>0</v>
      </c>
      <c r="N112" s="20">
        <f t="shared" si="20"/>
        <v>0</v>
      </c>
      <c r="O112" s="20">
        <f t="shared" si="21"/>
        <v>0</v>
      </c>
    </row>
    <row r="113" spans="1:15" ht="12" customHeight="1" x14ac:dyDescent="0.2">
      <c r="A113" s="32">
        <v>105</v>
      </c>
      <c r="B113" s="219" t="s">
        <v>76</v>
      </c>
      <c r="C113" s="36">
        <v>807</v>
      </c>
      <c r="D113" s="47" t="s">
        <v>262</v>
      </c>
      <c r="E113" s="35" t="s">
        <v>263</v>
      </c>
      <c r="F113" s="35" t="s">
        <v>73</v>
      </c>
      <c r="G113" s="35"/>
      <c r="H113" s="239">
        <f>SUM(H114)</f>
        <v>0</v>
      </c>
      <c r="I113" s="239">
        <f t="shared" ref="I113:J113" si="31">SUM(I114)</f>
        <v>0</v>
      </c>
      <c r="J113" s="239">
        <f t="shared" si="31"/>
        <v>0</v>
      </c>
      <c r="K113" s="165">
        <v>0</v>
      </c>
      <c r="M113" s="20">
        <f t="shared" si="19"/>
        <v>0</v>
      </c>
      <c r="N113" s="20">
        <f t="shared" si="20"/>
        <v>0</v>
      </c>
      <c r="O113" s="20">
        <f t="shared" si="21"/>
        <v>0</v>
      </c>
    </row>
    <row r="114" spans="1:15" ht="12" customHeight="1" x14ac:dyDescent="0.2">
      <c r="A114" s="32">
        <v>106</v>
      </c>
      <c r="B114" s="219" t="s">
        <v>45</v>
      </c>
      <c r="C114" s="36">
        <v>807</v>
      </c>
      <c r="D114" s="47" t="s">
        <v>262</v>
      </c>
      <c r="E114" s="35" t="s">
        <v>263</v>
      </c>
      <c r="F114" s="35" t="s">
        <v>68</v>
      </c>
      <c r="G114" s="35" t="s">
        <v>46</v>
      </c>
      <c r="H114" s="239">
        <v>0</v>
      </c>
      <c r="I114" s="239">
        <v>0</v>
      </c>
      <c r="J114" s="239">
        <v>0</v>
      </c>
      <c r="K114" s="165">
        <v>0</v>
      </c>
      <c r="M114" s="20">
        <f t="shared" si="19"/>
        <v>0</v>
      </c>
      <c r="N114" s="20">
        <f t="shared" si="20"/>
        <v>0</v>
      </c>
      <c r="O114" s="20">
        <f t="shared" si="21"/>
        <v>0</v>
      </c>
    </row>
    <row r="115" spans="1:15" ht="12" customHeight="1" x14ac:dyDescent="0.2">
      <c r="A115" s="32">
        <v>107</v>
      </c>
      <c r="B115" s="172" t="s">
        <v>152</v>
      </c>
      <c r="C115" s="155">
        <v>807</v>
      </c>
      <c r="D115" s="155" t="s">
        <v>30</v>
      </c>
      <c r="E115" s="35"/>
      <c r="F115" s="35"/>
      <c r="G115" s="35"/>
      <c r="H115" s="247">
        <f>H116+H133</f>
        <v>1048</v>
      </c>
      <c r="I115" s="247">
        <f t="shared" ref="I115:J115" si="32">I116+I133</f>
        <v>4241.3261999999995</v>
      </c>
      <c r="J115" s="247">
        <f t="shared" si="32"/>
        <v>3073.6861100000001</v>
      </c>
      <c r="K115" s="165">
        <f t="shared" si="25"/>
        <v>72.469929570614028</v>
      </c>
      <c r="M115" s="20">
        <f t="shared" si="19"/>
        <v>1048000</v>
      </c>
      <c r="N115" s="20">
        <f t="shared" si="20"/>
        <v>4241326.1999999993</v>
      </c>
      <c r="O115" s="20">
        <f t="shared" si="21"/>
        <v>3073686.11</v>
      </c>
    </row>
    <row r="116" spans="1:15" ht="12.75" x14ac:dyDescent="0.2">
      <c r="A116" s="32">
        <v>108</v>
      </c>
      <c r="B116" s="174" t="s">
        <v>153</v>
      </c>
      <c r="C116" s="155">
        <v>807</v>
      </c>
      <c r="D116" s="157" t="s">
        <v>31</v>
      </c>
      <c r="E116" s="35"/>
      <c r="F116" s="35"/>
      <c r="G116" s="35"/>
      <c r="H116" s="247">
        <f>H117+H124+H127+H131</f>
        <v>1048</v>
      </c>
      <c r="I116" s="247">
        <f>I117+I124+I127+I131</f>
        <v>4124.0261999999993</v>
      </c>
      <c r="J116" s="247">
        <f t="shared" ref="J116" si="33">J117+J124+J127+J131</f>
        <v>2956.3861099999999</v>
      </c>
      <c r="K116" s="165">
        <f t="shared" si="25"/>
        <v>71.686889622573219</v>
      </c>
      <c r="M116" s="20">
        <f t="shared" si="19"/>
        <v>1048000</v>
      </c>
      <c r="N116" s="20">
        <f t="shared" si="20"/>
        <v>4124026.1999999993</v>
      </c>
      <c r="O116" s="20">
        <f t="shared" si="21"/>
        <v>2956386.11</v>
      </c>
    </row>
    <row r="117" spans="1:15" ht="38.25" x14ac:dyDescent="0.2">
      <c r="A117" s="32">
        <v>109</v>
      </c>
      <c r="B117" s="170" t="s">
        <v>205</v>
      </c>
      <c r="C117" s="36">
        <v>807</v>
      </c>
      <c r="D117" s="35" t="s">
        <v>31</v>
      </c>
      <c r="E117" s="35" t="s">
        <v>179</v>
      </c>
      <c r="F117" s="40"/>
      <c r="G117" s="40"/>
      <c r="H117" s="248">
        <f>H118</f>
        <v>880</v>
      </c>
      <c r="I117" s="248">
        <f>I118</f>
        <v>2079.6441999999997</v>
      </c>
      <c r="J117" s="248">
        <f>J118</f>
        <v>912.40049999999997</v>
      </c>
      <c r="K117" s="165">
        <f t="shared" si="25"/>
        <v>43.872913453176274</v>
      </c>
      <c r="M117" s="20">
        <f t="shared" si="19"/>
        <v>880000</v>
      </c>
      <c r="N117" s="20">
        <f t="shared" si="20"/>
        <v>2079644.1999999997</v>
      </c>
      <c r="O117" s="20">
        <f t="shared" si="21"/>
        <v>912400.5</v>
      </c>
    </row>
    <row r="118" spans="1:15" ht="77.25" customHeight="1" x14ac:dyDescent="0.2">
      <c r="A118" s="32">
        <v>110</v>
      </c>
      <c r="B118" s="171" t="s">
        <v>78</v>
      </c>
      <c r="C118" s="36">
        <v>807</v>
      </c>
      <c r="D118" s="35" t="s">
        <v>31</v>
      </c>
      <c r="E118" s="35" t="s">
        <v>180</v>
      </c>
      <c r="F118" s="35" t="s">
        <v>73</v>
      </c>
      <c r="G118" s="35"/>
      <c r="H118" s="247">
        <f>SUM(H119:H123)</f>
        <v>880</v>
      </c>
      <c r="I118" s="247">
        <f>SUM(I119:I123)</f>
        <v>2079.6441999999997</v>
      </c>
      <c r="J118" s="247">
        <f t="shared" ref="J118" si="34">SUM(J119:J123)</f>
        <v>912.40049999999997</v>
      </c>
      <c r="K118" s="165">
        <f t="shared" si="25"/>
        <v>43.872913453176274</v>
      </c>
      <c r="M118" s="20">
        <f t="shared" si="19"/>
        <v>880000</v>
      </c>
      <c r="N118" s="20">
        <f t="shared" si="20"/>
        <v>2079644.1999999997</v>
      </c>
      <c r="O118" s="20">
        <f t="shared" si="21"/>
        <v>912400.5</v>
      </c>
    </row>
    <row r="119" spans="1:15" ht="12.75" x14ac:dyDescent="0.2">
      <c r="A119" s="32">
        <v>111</v>
      </c>
      <c r="B119" s="219" t="s">
        <v>34</v>
      </c>
      <c r="C119" s="36">
        <v>807</v>
      </c>
      <c r="D119" s="35" t="s">
        <v>31</v>
      </c>
      <c r="E119" s="35" t="s">
        <v>181</v>
      </c>
      <c r="F119" s="35" t="s">
        <v>387</v>
      </c>
      <c r="G119" s="35" t="s">
        <v>42</v>
      </c>
      <c r="H119" s="247">
        <v>700</v>
      </c>
      <c r="I119" s="247">
        <v>770</v>
      </c>
      <c r="J119" s="247">
        <v>652.58590000000004</v>
      </c>
      <c r="K119" s="165">
        <f t="shared" si="25"/>
        <v>84.751415584415597</v>
      </c>
      <c r="M119" s="20">
        <f t="shared" si="19"/>
        <v>700000</v>
      </c>
      <c r="N119" s="20">
        <f t="shared" si="20"/>
        <v>770000</v>
      </c>
      <c r="O119" s="20">
        <f t="shared" si="21"/>
        <v>652585.9</v>
      </c>
    </row>
    <row r="120" spans="1:15" ht="12.75" x14ac:dyDescent="0.2">
      <c r="A120" s="32">
        <v>112</v>
      </c>
      <c r="B120" s="219" t="s">
        <v>43</v>
      </c>
      <c r="C120" s="36">
        <v>808</v>
      </c>
      <c r="D120" s="35" t="s">
        <v>31</v>
      </c>
      <c r="E120" s="35" t="s">
        <v>182</v>
      </c>
      <c r="F120" s="35" t="s">
        <v>68</v>
      </c>
      <c r="G120" s="35" t="s">
        <v>44</v>
      </c>
      <c r="H120" s="247">
        <v>0</v>
      </c>
      <c r="I120" s="247">
        <v>0</v>
      </c>
      <c r="J120" s="247">
        <v>0</v>
      </c>
      <c r="K120" s="165">
        <v>0</v>
      </c>
      <c r="M120" s="20">
        <f t="shared" si="19"/>
        <v>0</v>
      </c>
      <c r="N120" s="20">
        <f t="shared" si="20"/>
        <v>0</v>
      </c>
      <c r="O120" s="20">
        <f t="shared" si="21"/>
        <v>0</v>
      </c>
    </row>
    <row r="121" spans="1:15" ht="12.75" x14ac:dyDescent="0.2">
      <c r="A121" s="32">
        <v>113</v>
      </c>
      <c r="B121" s="219" t="s">
        <v>35</v>
      </c>
      <c r="C121" s="36">
        <v>807</v>
      </c>
      <c r="D121" s="35" t="s">
        <v>31</v>
      </c>
      <c r="E121" s="35" t="s">
        <v>182</v>
      </c>
      <c r="F121" s="35" t="s">
        <v>68</v>
      </c>
      <c r="G121" s="35" t="s">
        <v>49</v>
      </c>
      <c r="H121" s="247">
        <v>0</v>
      </c>
      <c r="I121" s="247">
        <v>1004.655</v>
      </c>
      <c r="J121" s="247">
        <v>4.6550000000000002</v>
      </c>
      <c r="K121" s="165">
        <v>0</v>
      </c>
      <c r="M121" s="20">
        <f t="shared" si="19"/>
        <v>0</v>
      </c>
      <c r="N121" s="20">
        <f t="shared" si="20"/>
        <v>1004655</v>
      </c>
      <c r="O121" s="20">
        <f t="shared" si="21"/>
        <v>4655</v>
      </c>
    </row>
    <row r="122" spans="1:15" ht="12.75" x14ac:dyDescent="0.2">
      <c r="A122" s="32">
        <v>114</v>
      </c>
      <c r="B122" s="219" t="s">
        <v>52</v>
      </c>
      <c r="C122" s="36">
        <v>807</v>
      </c>
      <c r="D122" s="35" t="s">
        <v>31</v>
      </c>
      <c r="E122" s="35" t="s">
        <v>182</v>
      </c>
      <c r="F122" s="35" t="s">
        <v>68</v>
      </c>
      <c r="G122" s="35" t="s">
        <v>40</v>
      </c>
      <c r="H122" s="247">
        <v>180</v>
      </c>
      <c r="I122" s="247">
        <v>304.98919999999998</v>
      </c>
      <c r="J122" s="247">
        <v>255.15960000000001</v>
      </c>
      <c r="K122" s="165">
        <f t="shared" si="25"/>
        <v>83.661847698213592</v>
      </c>
      <c r="M122" s="20">
        <f t="shared" si="19"/>
        <v>180000</v>
      </c>
      <c r="N122" s="20">
        <f t="shared" si="20"/>
        <v>304989.19999999995</v>
      </c>
      <c r="O122" s="20">
        <f t="shared" si="21"/>
        <v>255159.6</v>
      </c>
    </row>
    <row r="123" spans="1:15" ht="12.75" x14ac:dyDescent="0.2">
      <c r="A123" s="32">
        <v>115</v>
      </c>
      <c r="B123" s="219" t="s">
        <v>45</v>
      </c>
      <c r="C123" s="36">
        <v>807</v>
      </c>
      <c r="D123" s="35" t="s">
        <v>31</v>
      </c>
      <c r="E123" s="35" t="s">
        <v>182</v>
      </c>
      <c r="F123" s="35" t="s">
        <v>68</v>
      </c>
      <c r="G123" s="35" t="s">
        <v>46</v>
      </c>
      <c r="H123" s="247">
        <v>0</v>
      </c>
      <c r="I123" s="247">
        <v>0</v>
      </c>
      <c r="J123" s="247">
        <v>0</v>
      </c>
      <c r="K123" s="165">
        <v>0</v>
      </c>
      <c r="M123" s="20">
        <f t="shared" si="19"/>
        <v>0</v>
      </c>
      <c r="N123" s="20">
        <f t="shared" si="20"/>
        <v>0</v>
      </c>
      <c r="O123" s="20">
        <f t="shared" si="21"/>
        <v>0</v>
      </c>
    </row>
    <row r="124" spans="1:15" ht="12.75" x14ac:dyDescent="0.2">
      <c r="A124" s="32">
        <v>116</v>
      </c>
      <c r="B124" s="219" t="s">
        <v>76</v>
      </c>
      <c r="C124" s="36">
        <v>807</v>
      </c>
      <c r="D124" s="35" t="s">
        <v>31</v>
      </c>
      <c r="E124" s="35" t="s">
        <v>265</v>
      </c>
      <c r="F124" s="35" t="s">
        <v>73</v>
      </c>
      <c r="G124" s="35"/>
      <c r="H124" s="247">
        <f>SUM(H125:H126)</f>
        <v>168</v>
      </c>
      <c r="I124" s="247">
        <f>SUM(I125:I126)</f>
        <v>168</v>
      </c>
      <c r="J124" s="247">
        <f>SUM(J125:J126)</f>
        <v>167.60361</v>
      </c>
      <c r="K124" s="165">
        <f t="shared" si="25"/>
        <v>99.764053571428562</v>
      </c>
      <c r="M124" s="20">
        <f t="shared" si="19"/>
        <v>168000</v>
      </c>
      <c r="N124" s="20">
        <f t="shared" si="20"/>
        <v>168000</v>
      </c>
      <c r="O124" s="20">
        <f t="shared" si="21"/>
        <v>167603.61000000002</v>
      </c>
    </row>
    <row r="125" spans="1:15" ht="12.75" x14ac:dyDescent="0.2">
      <c r="A125" s="32">
        <v>117</v>
      </c>
      <c r="B125" s="219" t="s">
        <v>45</v>
      </c>
      <c r="C125" s="36">
        <v>807</v>
      </c>
      <c r="D125" s="35" t="s">
        <v>31</v>
      </c>
      <c r="E125" s="35" t="s">
        <v>265</v>
      </c>
      <c r="F125" s="35" t="s">
        <v>68</v>
      </c>
      <c r="G125" s="35" t="s">
        <v>46</v>
      </c>
      <c r="H125" s="247">
        <v>168</v>
      </c>
      <c r="I125" s="247">
        <v>168</v>
      </c>
      <c r="J125" s="247">
        <v>167.60361</v>
      </c>
      <c r="K125" s="165">
        <f t="shared" si="25"/>
        <v>99.764053571428562</v>
      </c>
      <c r="M125" s="20">
        <f t="shared" si="19"/>
        <v>168000</v>
      </c>
      <c r="N125" s="20">
        <f t="shared" si="20"/>
        <v>168000</v>
      </c>
      <c r="O125" s="20">
        <f t="shared" si="21"/>
        <v>167603.61000000002</v>
      </c>
    </row>
    <row r="126" spans="1:15" ht="12.75" x14ac:dyDescent="0.2">
      <c r="A126" s="32">
        <v>118</v>
      </c>
      <c r="B126" s="219" t="s">
        <v>47</v>
      </c>
      <c r="C126" s="36">
        <v>807</v>
      </c>
      <c r="D126" s="35" t="s">
        <v>31</v>
      </c>
      <c r="E126" s="35" t="s">
        <v>265</v>
      </c>
      <c r="F126" s="35" t="s">
        <v>68</v>
      </c>
      <c r="G126" s="35" t="s">
        <v>48</v>
      </c>
      <c r="H126" s="247">
        <v>0</v>
      </c>
      <c r="I126" s="247">
        <v>0</v>
      </c>
      <c r="J126" s="247">
        <v>0</v>
      </c>
      <c r="K126" s="165">
        <v>0</v>
      </c>
      <c r="M126" s="20">
        <f t="shared" si="19"/>
        <v>0</v>
      </c>
      <c r="N126" s="20">
        <f t="shared" si="20"/>
        <v>0</v>
      </c>
      <c r="O126" s="20">
        <f t="shared" si="21"/>
        <v>0</v>
      </c>
    </row>
    <row r="127" spans="1:15" ht="12.75" x14ac:dyDescent="0.2">
      <c r="A127" s="32">
        <v>119</v>
      </c>
      <c r="B127" s="219" t="s">
        <v>76</v>
      </c>
      <c r="C127" s="36">
        <v>807</v>
      </c>
      <c r="D127" s="35" t="s">
        <v>31</v>
      </c>
      <c r="E127" s="35" t="s">
        <v>497</v>
      </c>
      <c r="F127" s="35" t="s">
        <v>73</v>
      </c>
      <c r="G127" s="35"/>
      <c r="H127" s="247">
        <f>SUM(H130)</f>
        <v>0</v>
      </c>
      <c r="I127" s="247">
        <f>SUM(I128:I130)</f>
        <v>1764</v>
      </c>
      <c r="J127" s="247">
        <f>SUM(J128:J130)</f>
        <v>1764</v>
      </c>
      <c r="K127" s="165">
        <f t="shared" si="25"/>
        <v>100</v>
      </c>
      <c r="M127" s="20">
        <f t="shared" si="19"/>
        <v>0</v>
      </c>
      <c r="N127" s="20">
        <f t="shared" si="20"/>
        <v>1764000</v>
      </c>
      <c r="O127" s="20">
        <f t="shared" si="21"/>
        <v>1764000</v>
      </c>
    </row>
    <row r="128" spans="1:15" ht="12.75" x14ac:dyDescent="0.2">
      <c r="A128" s="32">
        <v>120</v>
      </c>
      <c r="B128" s="219" t="s">
        <v>35</v>
      </c>
      <c r="C128" s="36">
        <v>807</v>
      </c>
      <c r="D128" s="35" t="s">
        <v>31</v>
      </c>
      <c r="E128" s="35" t="s">
        <v>497</v>
      </c>
      <c r="F128" s="35" t="s">
        <v>68</v>
      </c>
      <c r="G128" s="35" t="s">
        <v>449</v>
      </c>
      <c r="H128" s="247">
        <v>0</v>
      </c>
      <c r="I128" s="247">
        <v>1499.4</v>
      </c>
      <c r="J128" s="247">
        <v>1499.4</v>
      </c>
      <c r="K128" s="165">
        <f t="shared" si="25"/>
        <v>100</v>
      </c>
      <c r="M128" s="20"/>
      <c r="N128" s="20"/>
      <c r="O128" s="20"/>
    </row>
    <row r="129" spans="1:15" ht="12.75" x14ac:dyDescent="0.2">
      <c r="A129" s="32">
        <v>121</v>
      </c>
      <c r="B129" s="219" t="s">
        <v>512</v>
      </c>
      <c r="C129" s="36">
        <v>807</v>
      </c>
      <c r="D129" s="35" t="s">
        <v>31</v>
      </c>
      <c r="E129" s="35" t="s">
        <v>497</v>
      </c>
      <c r="F129" s="35" t="s">
        <v>68</v>
      </c>
      <c r="G129" s="35" t="s">
        <v>511</v>
      </c>
      <c r="H129" s="247">
        <v>0</v>
      </c>
      <c r="I129" s="247">
        <v>71.667590000000004</v>
      </c>
      <c r="J129" s="247">
        <v>71.667590000000004</v>
      </c>
      <c r="K129" s="165">
        <f t="shared" ref="K129" si="35">J129/I129*100</f>
        <v>100</v>
      </c>
      <c r="M129" s="20"/>
      <c r="N129" s="20"/>
      <c r="O129" s="20"/>
    </row>
    <row r="130" spans="1:15" ht="12.75" x14ac:dyDescent="0.2">
      <c r="A130" s="32">
        <v>122</v>
      </c>
      <c r="B130" s="219" t="s">
        <v>35</v>
      </c>
      <c r="C130" s="36">
        <v>807</v>
      </c>
      <c r="D130" s="35" t="s">
        <v>31</v>
      </c>
      <c r="E130" s="35" t="s">
        <v>497</v>
      </c>
      <c r="F130" s="35" t="s">
        <v>68</v>
      </c>
      <c r="G130" s="35" t="s">
        <v>49</v>
      </c>
      <c r="H130" s="247">
        <v>0</v>
      </c>
      <c r="I130" s="247">
        <v>192.93241</v>
      </c>
      <c r="J130" s="247">
        <v>192.93241</v>
      </c>
      <c r="K130" s="165">
        <f t="shared" si="25"/>
        <v>100</v>
      </c>
      <c r="M130" s="20">
        <f t="shared" si="19"/>
        <v>0</v>
      </c>
      <c r="N130" s="20">
        <f t="shared" si="20"/>
        <v>192932.41</v>
      </c>
      <c r="O130" s="20">
        <f t="shared" si="21"/>
        <v>192932.41</v>
      </c>
    </row>
    <row r="131" spans="1:15" ht="12.75" x14ac:dyDescent="0.2">
      <c r="A131" s="32">
        <v>123</v>
      </c>
      <c r="B131" s="219" t="s">
        <v>76</v>
      </c>
      <c r="C131" s="36">
        <v>807</v>
      </c>
      <c r="D131" s="35" t="s">
        <v>31</v>
      </c>
      <c r="E131" s="35" t="s">
        <v>383</v>
      </c>
      <c r="F131" s="35" t="s">
        <v>73</v>
      </c>
      <c r="G131" s="35"/>
      <c r="H131" s="247">
        <f>SUM(H132:H132)</f>
        <v>0</v>
      </c>
      <c r="I131" s="247">
        <f>SUM(I132:I132)</f>
        <v>112.38200000000001</v>
      </c>
      <c r="J131" s="247">
        <f>SUM(J132:J132)</f>
        <v>112.38200000000001</v>
      </c>
      <c r="K131" s="165">
        <f t="shared" si="25"/>
        <v>100</v>
      </c>
      <c r="M131" s="20">
        <f t="shared" si="19"/>
        <v>0</v>
      </c>
      <c r="N131" s="20">
        <f t="shared" si="20"/>
        <v>112382</v>
      </c>
      <c r="O131" s="20">
        <f t="shared" si="21"/>
        <v>112382</v>
      </c>
    </row>
    <row r="132" spans="1:15" ht="12.75" x14ac:dyDescent="0.2">
      <c r="A132" s="32">
        <v>124</v>
      </c>
      <c r="B132" s="219" t="s">
        <v>35</v>
      </c>
      <c r="C132" s="36">
        <v>807</v>
      </c>
      <c r="D132" s="35" t="s">
        <v>31</v>
      </c>
      <c r="E132" s="35" t="s">
        <v>383</v>
      </c>
      <c r="F132" s="35" t="s">
        <v>68</v>
      </c>
      <c r="G132" s="35" t="s">
        <v>446</v>
      </c>
      <c r="H132" s="247">
        <v>0</v>
      </c>
      <c r="I132" s="247">
        <v>112.38200000000001</v>
      </c>
      <c r="J132" s="247">
        <v>112.38200000000001</v>
      </c>
      <c r="K132" s="165">
        <f t="shared" si="25"/>
        <v>100</v>
      </c>
      <c r="M132" s="20">
        <f t="shared" si="19"/>
        <v>0</v>
      </c>
      <c r="N132" s="20">
        <f t="shared" si="20"/>
        <v>112382</v>
      </c>
      <c r="O132" s="20">
        <f t="shared" si="21"/>
        <v>112382</v>
      </c>
    </row>
    <row r="133" spans="1:15" ht="12.75" x14ac:dyDescent="0.2">
      <c r="A133" s="32">
        <v>125</v>
      </c>
      <c r="B133" s="249" t="s">
        <v>494</v>
      </c>
      <c r="C133" s="36">
        <v>807</v>
      </c>
      <c r="D133" s="47" t="s">
        <v>107</v>
      </c>
      <c r="E133" s="35"/>
      <c r="F133" s="35"/>
      <c r="G133" s="35"/>
      <c r="H133" s="239">
        <f>H134</f>
        <v>0</v>
      </c>
      <c r="I133" s="239">
        <f>I134</f>
        <v>117.3</v>
      </c>
      <c r="J133" s="239">
        <f>J134</f>
        <v>117.3</v>
      </c>
      <c r="K133" s="165">
        <v>0</v>
      </c>
      <c r="M133" s="20">
        <f t="shared" si="19"/>
        <v>0</v>
      </c>
      <c r="N133" s="20">
        <f t="shared" si="20"/>
        <v>117300</v>
      </c>
      <c r="O133" s="20">
        <f t="shared" si="21"/>
        <v>117300</v>
      </c>
    </row>
    <row r="134" spans="1:15" ht="12.75" x14ac:dyDescent="0.2">
      <c r="A134" s="32">
        <v>126</v>
      </c>
      <c r="B134" s="219" t="s">
        <v>76</v>
      </c>
      <c r="C134" s="36">
        <v>807</v>
      </c>
      <c r="D134" s="47" t="s">
        <v>107</v>
      </c>
      <c r="E134" s="35" t="s">
        <v>191</v>
      </c>
      <c r="F134" s="35" t="s">
        <v>73</v>
      </c>
      <c r="G134" s="35"/>
      <c r="H134" s="239">
        <f>SUM(H135)</f>
        <v>0</v>
      </c>
      <c r="I134" s="239">
        <f t="shared" ref="I134:J134" si="36">SUM(I135)</f>
        <v>117.3</v>
      </c>
      <c r="J134" s="239">
        <f t="shared" si="36"/>
        <v>117.3</v>
      </c>
      <c r="K134" s="165">
        <v>0</v>
      </c>
      <c r="M134" s="20">
        <f t="shared" si="19"/>
        <v>0</v>
      </c>
      <c r="N134" s="20">
        <f t="shared" si="20"/>
        <v>117300</v>
      </c>
      <c r="O134" s="20">
        <f t="shared" si="21"/>
        <v>117300</v>
      </c>
    </row>
    <row r="135" spans="1:15" ht="12.75" x14ac:dyDescent="0.2">
      <c r="A135" s="32">
        <v>127</v>
      </c>
      <c r="B135" s="219" t="s">
        <v>35</v>
      </c>
      <c r="C135" s="36">
        <v>807</v>
      </c>
      <c r="D135" s="47" t="s">
        <v>107</v>
      </c>
      <c r="E135" s="35" t="s">
        <v>191</v>
      </c>
      <c r="F135" s="35" t="s">
        <v>68</v>
      </c>
      <c r="G135" s="35" t="s">
        <v>49</v>
      </c>
      <c r="H135" s="239">
        <v>0</v>
      </c>
      <c r="I135" s="239">
        <v>117.3</v>
      </c>
      <c r="J135" s="239">
        <v>117.3</v>
      </c>
      <c r="K135" s="165">
        <v>0</v>
      </c>
      <c r="M135" s="20">
        <f t="shared" si="19"/>
        <v>0</v>
      </c>
      <c r="N135" s="20">
        <f t="shared" si="20"/>
        <v>117300</v>
      </c>
      <c r="O135" s="20">
        <f t="shared" si="21"/>
        <v>117300</v>
      </c>
    </row>
    <row r="136" spans="1:15" ht="17.25" customHeight="1" x14ac:dyDescent="0.2">
      <c r="A136" s="32">
        <v>128</v>
      </c>
      <c r="B136" s="49" t="s">
        <v>154</v>
      </c>
      <c r="C136" s="50">
        <v>807</v>
      </c>
      <c r="D136" s="51" t="s">
        <v>28</v>
      </c>
      <c r="E136" s="51"/>
      <c r="F136" s="51"/>
      <c r="G136" s="52"/>
      <c r="H136" s="241">
        <f>H137</f>
        <v>1</v>
      </c>
      <c r="I136" s="241">
        <f t="shared" ref="I136:J136" si="37">I137</f>
        <v>1</v>
      </c>
      <c r="J136" s="241">
        <f t="shared" si="37"/>
        <v>1</v>
      </c>
      <c r="K136" s="165">
        <f t="shared" si="25"/>
        <v>100</v>
      </c>
      <c r="M136" s="20">
        <f t="shared" si="19"/>
        <v>1000</v>
      </c>
      <c r="N136" s="20">
        <f t="shared" si="20"/>
        <v>1000</v>
      </c>
      <c r="O136" s="20">
        <f t="shared" si="21"/>
        <v>1000</v>
      </c>
    </row>
    <row r="137" spans="1:15" ht="12.75" x14ac:dyDescent="0.2">
      <c r="A137" s="32">
        <v>129</v>
      </c>
      <c r="B137" s="161" t="s">
        <v>212</v>
      </c>
      <c r="C137" s="155">
        <v>807</v>
      </c>
      <c r="D137" s="155" t="s">
        <v>28</v>
      </c>
      <c r="E137" s="155" t="s">
        <v>155</v>
      </c>
      <c r="F137" s="155" t="s">
        <v>155</v>
      </c>
      <c r="G137" s="35"/>
      <c r="H137" s="239">
        <f>H138</f>
        <v>1</v>
      </c>
      <c r="I137" s="239">
        <f t="shared" ref="I137:J137" si="38">I138</f>
        <v>1</v>
      </c>
      <c r="J137" s="239">
        <f t="shared" si="38"/>
        <v>1</v>
      </c>
      <c r="K137" s="165">
        <f t="shared" si="25"/>
        <v>100</v>
      </c>
      <c r="M137" s="20">
        <f t="shared" si="19"/>
        <v>1000</v>
      </c>
      <c r="N137" s="20">
        <f t="shared" si="20"/>
        <v>1000</v>
      </c>
      <c r="O137" s="20">
        <f t="shared" si="21"/>
        <v>1000</v>
      </c>
    </row>
    <row r="138" spans="1:15" ht="38.25" x14ac:dyDescent="0.2">
      <c r="A138" s="32">
        <v>130</v>
      </c>
      <c r="B138" s="64" t="s">
        <v>213</v>
      </c>
      <c r="C138" s="155">
        <v>807</v>
      </c>
      <c r="D138" s="155" t="s">
        <v>28</v>
      </c>
      <c r="E138" s="155" t="s">
        <v>214</v>
      </c>
      <c r="F138" s="155" t="s">
        <v>155</v>
      </c>
      <c r="G138" s="35"/>
      <c r="H138" s="239">
        <f>SUM(H139)</f>
        <v>1</v>
      </c>
      <c r="I138" s="239">
        <f t="shared" ref="I138:J138" si="39">SUM(I139)</f>
        <v>1</v>
      </c>
      <c r="J138" s="239">
        <f t="shared" si="39"/>
        <v>1</v>
      </c>
      <c r="K138" s="165">
        <f t="shared" si="25"/>
        <v>100</v>
      </c>
      <c r="M138" s="20">
        <f t="shared" si="19"/>
        <v>1000</v>
      </c>
      <c r="N138" s="20">
        <f t="shared" si="20"/>
        <v>1000</v>
      </c>
      <c r="O138" s="20">
        <f t="shared" si="21"/>
        <v>1000</v>
      </c>
    </row>
    <row r="139" spans="1:15" ht="12.75" x14ac:dyDescent="0.2">
      <c r="A139" s="32">
        <v>131</v>
      </c>
      <c r="B139" s="154" t="s">
        <v>215</v>
      </c>
      <c r="C139" s="155">
        <v>807</v>
      </c>
      <c r="D139" s="155" t="s">
        <v>28</v>
      </c>
      <c r="E139" s="155">
        <v>6400080000</v>
      </c>
      <c r="F139" s="155" t="s">
        <v>155</v>
      </c>
      <c r="G139" s="35"/>
      <c r="H139" s="239">
        <f>H140</f>
        <v>1</v>
      </c>
      <c r="I139" s="239">
        <f t="shared" ref="I139:J141" si="40">I140</f>
        <v>1</v>
      </c>
      <c r="J139" s="239">
        <f t="shared" si="40"/>
        <v>1</v>
      </c>
      <c r="K139" s="165">
        <f t="shared" si="25"/>
        <v>100</v>
      </c>
      <c r="M139" s="20">
        <f t="shared" si="19"/>
        <v>1000</v>
      </c>
      <c r="N139" s="20">
        <f t="shared" si="20"/>
        <v>1000</v>
      </c>
      <c r="O139" s="20">
        <f t="shared" si="21"/>
        <v>1000</v>
      </c>
    </row>
    <row r="140" spans="1:15" ht="38.25" x14ac:dyDescent="0.2">
      <c r="A140" s="32">
        <v>132</v>
      </c>
      <c r="B140" s="154" t="s">
        <v>216</v>
      </c>
      <c r="C140" s="155">
        <v>807</v>
      </c>
      <c r="D140" s="155" t="s">
        <v>28</v>
      </c>
      <c r="E140" s="155">
        <v>6400087000</v>
      </c>
      <c r="F140" s="155" t="s">
        <v>155</v>
      </c>
      <c r="G140" s="35"/>
      <c r="H140" s="239">
        <f>H141</f>
        <v>1</v>
      </c>
      <c r="I140" s="239">
        <f t="shared" si="40"/>
        <v>1</v>
      </c>
      <c r="J140" s="239">
        <f t="shared" si="40"/>
        <v>1</v>
      </c>
      <c r="K140" s="165">
        <f t="shared" si="25"/>
        <v>100</v>
      </c>
      <c r="M140" s="20">
        <f t="shared" si="19"/>
        <v>1000</v>
      </c>
      <c r="N140" s="20">
        <f t="shared" si="20"/>
        <v>1000</v>
      </c>
      <c r="O140" s="20">
        <f t="shared" si="21"/>
        <v>1000</v>
      </c>
    </row>
    <row r="141" spans="1:15" ht="12.75" x14ac:dyDescent="0.2">
      <c r="A141" s="32">
        <v>133</v>
      </c>
      <c r="B141" s="154" t="s">
        <v>217</v>
      </c>
      <c r="C141" s="155">
        <v>807</v>
      </c>
      <c r="D141" s="155" t="s">
        <v>28</v>
      </c>
      <c r="E141" s="155">
        <v>6400087000</v>
      </c>
      <c r="F141" s="155">
        <v>500</v>
      </c>
      <c r="G141" s="35" t="s">
        <v>81</v>
      </c>
      <c r="H141" s="239">
        <f>H142</f>
        <v>1</v>
      </c>
      <c r="I141" s="239">
        <f t="shared" si="40"/>
        <v>1</v>
      </c>
      <c r="J141" s="239">
        <f t="shared" si="40"/>
        <v>1</v>
      </c>
      <c r="K141" s="165">
        <f t="shared" si="25"/>
        <v>100</v>
      </c>
      <c r="M141" s="20">
        <f t="shared" si="19"/>
        <v>1000</v>
      </c>
      <c r="N141" s="20">
        <f t="shared" si="20"/>
        <v>1000</v>
      </c>
      <c r="O141" s="20">
        <f t="shared" si="21"/>
        <v>1000</v>
      </c>
    </row>
    <row r="142" spans="1:15" ht="14.25" customHeight="1" x14ac:dyDescent="0.2">
      <c r="A142" s="32">
        <v>134</v>
      </c>
      <c r="B142" s="154" t="s">
        <v>56</v>
      </c>
      <c r="C142" s="155">
        <v>807</v>
      </c>
      <c r="D142" s="155" t="s">
        <v>28</v>
      </c>
      <c r="E142" s="155">
        <v>6400087000</v>
      </c>
      <c r="F142" s="155">
        <v>540</v>
      </c>
      <c r="G142" s="35" t="s">
        <v>81</v>
      </c>
      <c r="H142" s="239">
        <v>1</v>
      </c>
      <c r="I142" s="239">
        <v>1</v>
      </c>
      <c r="J142" s="239">
        <v>1</v>
      </c>
      <c r="K142" s="165">
        <f t="shared" si="25"/>
        <v>100</v>
      </c>
      <c r="M142" s="20">
        <f t="shared" si="19"/>
        <v>1000</v>
      </c>
      <c r="N142" s="20">
        <f t="shared" si="20"/>
        <v>1000</v>
      </c>
      <c r="O142" s="20">
        <f t="shared" si="21"/>
        <v>1000</v>
      </c>
    </row>
    <row r="143" spans="1:15" ht="12.75" hidden="1" customHeight="1" x14ac:dyDescent="0.2">
      <c r="A143" s="32">
        <v>135</v>
      </c>
      <c r="B143" s="219" t="s">
        <v>188</v>
      </c>
      <c r="C143" s="36">
        <v>807</v>
      </c>
      <c r="D143" s="35" t="s">
        <v>107</v>
      </c>
      <c r="E143" s="35"/>
      <c r="F143" s="35"/>
      <c r="G143" s="35"/>
      <c r="H143" s="239">
        <f>H144</f>
        <v>0</v>
      </c>
      <c r="I143" s="242">
        <f t="shared" ref="I143:J145" si="41">I144</f>
        <v>0</v>
      </c>
      <c r="J143" s="242">
        <f t="shared" si="41"/>
        <v>0</v>
      </c>
      <c r="K143" s="165" t="e">
        <f t="shared" si="25"/>
        <v>#DIV/0!</v>
      </c>
      <c r="M143" s="20">
        <f t="shared" ref="M143:M158" si="42">H143*1000</f>
        <v>0</v>
      </c>
      <c r="N143" s="20">
        <f t="shared" ref="N143:N158" si="43">I143*1000</f>
        <v>0</v>
      </c>
      <c r="O143" s="20">
        <f t="shared" ref="O143:O158" si="44">J143*1000</f>
        <v>0</v>
      </c>
    </row>
    <row r="144" spans="1:15" ht="12.75" hidden="1" customHeight="1" x14ac:dyDescent="0.2">
      <c r="A144" s="32">
        <v>136</v>
      </c>
      <c r="B144" s="48" t="s">
        <v>189</v>
      </c>
      <c r="C144" s="36">
        <v>807</v>
      </c>
      <c r="D144" s="35" t="s">
        <v>107</v>
      </c>
      <c r="E144" s="35"/>
      <c r="F144" s="35"/>
      <c r="G144" s="35"/>
      <c r="H144" s="239">
        <f>H145</f>
        <v>0</v>
      </c>
      <c r="I144" s="242">
        <f t="shared" si="41"/>
        <v>0</v>
      </c>
      <c r="J144" s="242">
        <f t="shared" si="41"/>
        <v>0</v>
      </c>
      <c r="K144" s="165" t="e">
        <f t="shared" si="25"/>
        <v>#DIV/0!</v>
      </c>
      <c r="M144" s="20">
        <f t="shared" si="42"/>
        <v>0</v>
      </c>
      <c r="N144" s="20">
        <f t="shared" si="43"/>
        <v>0</v>
      </c>
      <c r="O144" s="20">
        <f t="shared" si="44"/>
        <v>0</v>
      </c>
    </row>
    <row r="145" spans="1:15" ht="12.75" hidden="1" customHeight="1" x14ac:dyDescent="0.2">
      <c r="A145" s="32">
        <v>137</v>
      </c>
      <c r="B145" s="219" t="s">
        <v>145</v>
      </c>
      <c r="C145" s="36">
        <v>807</v>
      </c>
      <c r="D145" s="35" t="s">
        <v>107</v>
      </c>
      <c r="E145" s="35" t="s">
        <v>191</v>
      </c>
      <c r="F145" s="35" t="s">
        <v>192</v>
      </c>
      <c r="G145" s="35"/>
      <c r="H145" s="239">
        <f>H146</f>
        <v>0</v>
      </c>
      <c r="I145" s="242">
        <f t="shared" si="41"/>
        <v>0</v>
      </c>
      <c r="J145" s="242">
        <f t="shared" si="41"/>
        <v>0</v>
      </c>
      <c r="K145" s="165" t="e">
        <f t="shared" si="25"/>
        <v>#DIV/0!</v>
      </c>
      <c r="M145" s="20">
        <f t="shared" si="42"/>
        <v>0</v>
      </c>
      <c r="N145" s="20">
        <f t="shared" si="43"/>
        <v>0</v>
      </c>
      <c r="O145" s="20">
        <f t="shared" si="44"/>
        <v>0</v>
      </c>
    </row>
    <row r="146" spans="1:15" ht="12.75" hidden="1" customHeight="1" x14ac:dyDescent="0.2">
      <c r="A146" s="32">
        <v>138</v>
      </c>
      <c r="B146" s="219" t="s">
        <v>190</v>
      </c>
      <c r="C146" s="36">
        <v>807</v>
      </c>
      <c r="D146" s="35" t="s">
        <v>107</v>
      </c>
      <c r="E146" s="35" t="s">
        <v>191</v>
      </c>
      <c r="F146" s="35" t="s">
        <v>193</v>
      </c>
      <c r="G146" s="35" t="s">
        <v>194</v>
      </c>
      <c r="H146" s="239">
        <v>0</v>
      </c>
      <c r="I146" s="242">
        <v>0</v>
      </c>
      <c r="J146" s="242">
        <v>0</v>
      </c>
      <c r="K146" s="165" t="e">
        <f t="shared" si="25"/>
        <v>#DIV/0!</v>
      </c>
      <c r="M146" s="20">
        <f t="shared" si="42"/>
        <v>0</v>
      </c>
      <c r="N146" s="20">
        <f t="shared" si="43"/>
        <v>0</v>
      </c>
      <c r="O146" s="20">
        <f t="shared" si="44"/>
        <v>0</v>
      </c>
    </row>
    <row r="147" spans="1:15" ht="13.5" x14ac:dyDescent="0.2">
      <c r="A147" s="32">
        <v>139</v>
      </c>
      <c r="B147" s="151" t="s">
        <v>240</v>
      </c>
      <c r="C147" s="152">
        <v>807</v>
      </c>
      <c r="D147" s="152">
        <v>1000</v>
      </c>
      <c r="E147" s="152" t="s">
        <v>155</v>
      </c>
      <c r="F147" s="152" t="s">
        <v>155</v>
      </c>
      <c r="G147" s="35"/>
      <c r="H147" s="241">
        <f>H148+H154</f>
        <v>60</v>
      </c>
      <c r="I147" s="241">
        <f t="shared" ref="I147:J147" si="45">I148+I154</f>
        <v>130</v>
      </c>
      <c r="J147" s="241">
        <f t="shared" si="45"/>
        <v>129.56</v>
      </c>
      <c r="K147" s="165">
        <f t="shared" si="25"/>
        <v>99.66153846153847</v>
      </c>
      <c r="M147" s="20">
        <f t="shared" si="42"/>
        <v>60000</v>
      </c>
      <c r="N147" s="20">
        <f t="shared" si="43"/>
        <v>130000</v>
      </c>
      <c r="O147" s="20">
        <f t="shared" si="44"/>
        <v>129560</v>
      </c>
    </row>
    <row r="148" spans="1:15" ht="12.75" x14ac:dyDescent="0.2">
      <c r="A148" s="32">
        <v>140</v>
      </c>
      <c r="B148" s="154" t="s">
        <v>241</v>
      </c>
      <c r="C148" s="155">
        <v>807</v>
      </c>
      <c r="D148" s="155">
        <v>1001</v>
      </c>
      <c r="E148" s="155" t="s">
        <v>155</v>
      </c>
      <c r="F148" s="155" t="s">
        <v>155</v>
      </c>
      <c r="G148" s="35"/>
      <c r="H148" s="239">
        <f>H149</f>
        <v>60</v>
      </c>
      <c r="I148" s="239">
        <f t="shared" ref="I148:J148" si="46">I149</f>
        <v>60</v>
      </c>
      <c r="J148" s="239">
        <f t="shared" si="46"/>
        <v>59.56</v>
      </c>
      <c r="K148" s="165">
        <f t="shared" si="25"/>
        <v>99.266666666666666</v>
      </c>
      <c r="M148" s="20">
        <f t="shared" si="42"/>
        <v>60000</v>
      </c>
      <c r="N148" s="20">
        <f t="shared" si="43"/>
        <v>60000</v>
      </c>
      <c r="O148" s="20">
        <f t="shared" si="44"/>
        <v>59560</v>
      </c>
    </row>
    <row r="149" spans="1:15" ht="12.75" x14ac:dyDescent="0.2">
      <c r="A149" s="32">
        <v>141</v>
      </c>
      <c r="B149" s="64" t="s">
        <v>143</v>
      </c>
      <c r="C149" s="155">
        <v>807</v>
      </c>
      <c r="D149" s="155">
        <v>1001</v>
      </c>
      <c r="E149" s="155" t="s">
        <v>243</v>
      </c>
      <c r="F149" s="155" t="s">
        <v>155</v>
      </c>
      <c r="G149" s="35"/>
      <c r="H149" s="239">
        <f>SUM(H150)</f>
        <v>60</v>
      </c>
      <c r="I149" s="239">
        <f t="shared" ref="I149:J149" si="47">SUM(I150)</f>
        <v>60</v>
      </c>
      <c r="J149" s="239">
        <f t="shared" si="47"/>
        <v>59.56</v>
      </c>
      <c r="K149" s="165">
        <f t="shared" si="25"/>
        <v>99.266666666666666</v>
      </c>
      <c r="M149" s="20">
        <f t="shared" si="42"/>
        <v>60000</v>
      </c>
      <c r="N149" s="20">
        <f t="shared" si="43"/>
        <v>60000</v>
      </c>
      <c r="O149" s="20">
        <f t="shared" si="44"/>
        <v>59560</v>
      </c>
    </row>
    <row r="150" spans="1:15" ht="25.5" x14ac:dyDescent="0.2">
      <c r="A150" s="32">
        <v>142</v>
      </c>
      <c r="B150" s="154" t="s">
        <v>237</v>
      </c>
      <c r="C150" s="155">
        <v>807</v>
      </c>
      <c r="D150" s="155">
        <v>1001</v>
      </c>
      <c r="E150" s="155">
        <v>6300080000</v>
      </c>
      <c r="F150" s="155" t="s">
        <v>155</v>
      </c>
      <c r="G150" s="35"/>
      <c r="H150" s="239">
        <f>H151</f>
        <v>60</v>
      </c>
      <c r="I150" s="239">
        <f t="shared" ref="I150:J152" si="48">I151</f>
        <v>60</v>
      </c>
      <c r="J150" s="239">
        <f t="shared" si="48"/>
        <v>59.56</v>
      </c>
      <c r="K150" s="165">
        <f t="shared" si="25"/>
        <v>99.266666666666666</v>
      </c>
      <c r="M150" s="20">
        <f t="shared" si="42"/>
        <v>60000</v>
      </c>
      <c r="N150" s="20">
        <f t="shared" si="43"/>
        <v>60000</v>
      </c>
      <c r="O150" s="20">
        <f t="shared" si="44"/>
        <v>59560</v>
      </c>
    </row>
    <row r="151" spans="1:15" ht="12.75" x14ac:dyDescent="0.2">
      <c r="A151" s="32">
        <v>143</v>
      </c>
      <c r="B151" s="154" t="s">
        <v>238</v>
      </c>
      <c r="C151" s="155">
        <v>807</v>
      </c>
      <c r="D151" s="155">
        <v>1001</v>
      </c>
      <c r="E151" s="155">
        <v>6300080230</v>
      </c>
      <c r="F151" s="155" t="s">
        <v>155</v>
      </c>
      <c r="G151" s="35"/>
      <c r="H151" s="239">
        <f>H152</f>
        <v>60</v>
      </c>
      <c r="I151" s="239">
        <f t="shared" si="48"/>
        <v>60</v>
      </c>
      <c r="J151" s="239">
        <f t="shared" si="48"/>
        <v>59.56</v>
      </c>
      <c r="K151" s="165">
        <f t="shared" si="25"/>
        <v>99.266666666666666</v>
      </c>
      <c r="M151" s="20">
        <f t="shared" si="42"/>
        <v>60000</v>
      </c>
      <c r="N151" s="20">
        <f t="shared" si="43"/>
        <v>60000</v>
      </c>
      <c r="O151" s="20">
        <f t="shared" si="44"/>
        <v>59560</v>
      </c>
    </row>
    <row r="152" spans="1:15" ht="12.75" x14ac:dyDescent="0.2">
      <c r="A152" s="32">
        <v>144</v>
      </c>
      <c r="B152" s="154" t="s">
        <v>244</v>
      </c>
      <c r="C152" s="155">
        <v>807</v>
      </c>
      <c r="D152" s="155">
        <v>1001</v>
      </c>
      <c r="E152" s="155">
        <v>6300080230</v>
      </c>
      <c r="F152" s="155">
        <v>300</v>
      </c>
      <c r="G152" s="35" t="s">
        <v>261</v>
      </c>
      <c r="H152" s="239">
        <f>H153</f>
        <v>60</v>
      </c>
      <c r="I152" s="239">
        <f t="shared" si="48"/>
        <v>60</v>
      </c>
      <c r="J152" s="239">
        <f t="shared" si="48"/>
        <v>59.56</v>
      </c>
      <c r="K152" s="165">
        <f t="shared" si="25"/>
        <v>99.266666666666666</v>
      </c>
      <c r="M152" s="20">
        <f t="shared" si="42"/>
        <v>60000</v>
      </c>
      <c r="N152" s="20">
        <f t="shared" si="43"/>
        <v>60000</v>
      </c>
      <c r="O152" s="20">
        <f t="shared" si="44"/>
        <v>59560</v>
      </c>
    </row>
    <row r="153" spans="1:15" ht="12.75" x14ac:dyDescent="0.2">
      <c r="A153" s="32">
        <v>145</v>
      </c>
      <c r="B153" s="154" t="s">
        <v>239</v>
      </c>
      <c r="C153" s="155">
        <v>807</v>
      </c>
      <c r="D153" s="155">
        <v>1001</v>
      </c>
      <c r="E153" s="155">
        <v>6300080230</v>
      </c>
      <c r="F153" s="155">
        <v>312</v>
      </c>
      <c r="G153" s="35" t="s">
        <v>261</v>
      </c>
      <c r="H153" s="239">
        <v>60</v>
      </c>
      <c r="I153" s="239">
        <v>60</v>
      </c>
      <c r="J153" s="239">
        <v>59.56</v>
      </c>
      <c r="K153" s="165">
        <f t="shared" si="25"/>
        <v>99.266666666666666</v>
      </c>
      <c r="M153" s="20">
        <f t="shared" si="42"/>
        <v>60000</v>
      </c>
      <c r="N153" s="20">
        <f t="shared" si="43"/>
        <v>60000</v>
      </c>
      <c r="O153" s="20">
        <f t="shared" si="44"/>
        <v>59560</v>
      </c>
    </row>
    <row r="154" spans="1:15" ht="12.75" x14ac:dyDescent="0.2">
      <c r="A154" s="32">
        <v>146</v>
      </c>
      <c r="B154" s="219" t="s">
        <v>389</v>
      </c>
      <c r="C154" s="155">
        <v>807</v>
      </c>
      <c r="D154" s="155">
        <v>1003</v>
      </c>
      <c r="E154" s="155" t="s">
        <v>155</v>
      </c>
      <c r="F154" s="155" t="s">
        <v>155</v>
      </c>
      <c r="G154" s="35"/>
      <c r="H154" s="239">
        <f>H155</f>
        <v>0</v>
      </c>
      <c r="I154" s="239">
        <f t="shared" ref="I154:J154" si="49">I155</f>
        <v>70</v>
      </c>
      <c r="J154" s="239">
        <f t="shared" si="49"/>
        <v>70</v>
      </c>
      <c r="K154" s="165">
        <v>0</v>
      </c>
      <c r="M154" s="20">
        <f t="shared" si="42"/>
        <v>0</v>
      </c>
      <c r="N154" s="20">
        <f t="shared" si="43"/>
        <v>70000</v>
      </c>
      <c r="O154" s="20">
        <f t="shared" si="44"/>
        <v>70000</v>
      </c>
    </row>
    <row r="155" spans="1:15" ht="12.75" x14ac:dyDescent="0.2">
      <c r="A155" s="32">
        <v>147</v>
      </c>
      <c r="B155" s="64" t="s">
        <v>143</v>
      </c>
      <c r="C155" s="155">
        <v>807</v>
      </c>
      <c r="D155" s="155">
        <v>1003</v>
      </c>
      <c r="E155" s="155" t="s">
        <v>214</v>
      </c>
      <c r="F155" s="155" t="s">
        <v>155</v>
      </c>
      <c r="G155" s="35"/>
      <c r="H155" s="239">
        <f>SUM(H156)</f>
        <v>0</v>
      </c>
      <c r="I155" s="239">
        <f t="shared" ref="I155:J155" si="50">SUM(I156)</f>
        <v>70</v>
      </c>
      <c r="J155" s="239">
        <f t="shared" si="50"/>
        <v>70</v>
      </c>
      <c r="K155" s="165">
        <v>0</v>
      </c>
      <c r="M155" s="20">
        <f t="shared" si="42"/>
        <v>0</v>
      </c>
      <c r="N155" s="20">
        <f t="shared" si="43"/>
        <v>70000</v>
      </c>
      <c r="O155" s="20">
        <f t="shared" si="44"/>
        <v>70000</v>
      </c>
    </row>
    <row r="156" spans="1:15" ht="12.75" x14ac:dyDescent="0.2">
      <c r="A156" s="32">
        <v>148</v>
      </c>
      <c r="B156" s="219" t="s">
        <v>392</v>
      </c>
      <c r="C156" s="155">
        <v>807</v>
      </c>
      <c r="D156" s="155">
        <v>1003</v>
      </c>
      <c r="E156" s="155">
        <v>6400091190</v>
      </c>
      <c r="F156" s="155" t="s">
        <v>155</v>
      </c>
      <c r="G156" s="35"/>
      <c r="H156" s="239">
        <f>H157</f>
        <v>0</v>
      </c>
      <c r="I156" s="239">
        <f t="shared" ref="I156:J156" si="51">I157</f>
        <v>70</v>
      </c>
      <c r="J156" s="239">
        <f t="shared" si="51"/>
        <v>70</v>
      </c>
      <c r="K156" s="165">
        <v>0</v>
      </c>
      <c r="M156" s="20">
        <f t="shared" si="42"/>
        <v>0</v>
      </c>
      <c r="N156" s="20">
        <f t="shared" si="43"/>
        <v>70000</v>
      </c>
      <c r="O156" s="20">
        <f t="shared" si="44"/>
        <v>70000</v>
      </c>
    </row>
    <row r="157" spans="1:15" ht="12.75" x14ac:dyDescent="0.2">
      <c r="A157" s="32">
        <v>149</v>
      </c>
      <c r="B157" s="219" t="s">
        <v>244</v>
      </c>
      <c r="C157" s="155">
        <v>807</v>
      </c>
      <c r="D157" s="155">
        <v>1003</v>
      </c>
      <c r="E157" s="155">
        <v>6400091190</v>
      </c>
      <c r="F157" s="155">
        <v>300</v>
      </c>
      <c r="G157" s="35" t="s">
        <v>194</v>
      </c>
      <c r="H157" s="239">
        <f>H158</f>
        <v>0</v>
      </c>
      <c r="I157" s="239">
        <f t="shared" ref="I157:J157" si="52">I158</f>
        <v>70</v>
      </c>
      <c r="J157" s="239">
        <f t="shared" si="52"/>
        <v>70</v>
      </c>
      <c r="K157" s="165">
        <v>0</v>
      </c>
      <c r="M157" s="20">
        <f t="shared" si="42"/>
        <v>0</v>
      </c>
      <c r="N157" s="20">
        <f t="shared" si="43"/>
        <v>70000</v>
      </c>
      <c r="O157" s="20">
        <f t="shared" si="44"/>
        <v>70000</v>
      </c>
    </row>
    <row r="158" spans="1:15" ht="13.5" thickBot="1" x14ac:dyDescent="0.25">
      <c r="A158" s="224">
        <v>150</v>
      </c>
      <c r="B158" s="225" t="s">
        <v>189</v>
      </c>
      <c r="C158" s="226">
        <v>807</v>
      </c>
      <c r="D158" s="226">
        <v>1003</v>
      </c>
      <c r="E158" s="226">
        <v>6400091190</v>
      </c>
      <c r="F158" s="226">
        <v>321</v>
      </c>
      <c r="G158" s="227" t="s">
        <v>194</v>
      </c>
      <c r="H158" s="240">
        <v>0</v>
      </c>
      <c r="I158" s="240">
        <v>70</v>
      </c>
      <c r="J158" s="240">
        <v>70</v>
      </c>
      <c r="K158" s="228">
        <v>0</v>
      </c>
      <c r="M158" s="20">
        <f t="shared" si="42"/>
        <v>0</v>
      </c>
      <c r="N158" s="20">
        <f t="shared" si="43"/>
        <v>70000</v>
      </c>
      <c r="O158" s="20">
        <f t="shared" si="44"/>
        <v>70000</v>
      </c>
    </row>
    <row r="159" spans="1:15" ht="13.5" thickBot="1" x14ac:dyDescent="0.25">
      <c r="A159" s="310" t="s">
        <v>10</v>
      </c>
      <c r="B159" s="311"/>
      <c r="C159" s="311"/>
      <c r="D159" s="311"/>
      <c r="E159" s="311"/>
      <c r="F159" s="311"/>
      <c r="G159" s="312"/>
      <c r="H159" s="222">
        <f>H136+H9+H147</f>
        <v>10954.555999999999</v>
      </c>
      <c r="I159" s="222">
        <f>I136+I9+I147</f>
        <v>16154.158950000001</v>
      </c>
      <c r="J159" s="222">
        <f>J136+J9+J147</f>
        <v>14523.05449</v>
      </c>
      <c r="K159" s="223">
        <f>J159/I159*100</f>
        <v>89.902882192452367</v>
      </c>
      <c r="M159" s="20">
        <f t="shared" ref="M159" si="53">H159*1000</f>
        <v>10954555.999999998</v>
      </c>
      <c r="N159" s="20">
        <f>I159*1000</f>
        <v>16154158.950000001</v>
      </c>
      <c r="O159" s="20">
        <f t="shared" ref="O159" si="54">J159*1000</f>
        <v>14523054.49</v>
      </c>
    </row>
    <row r="161" spans="8:10" x14ac:dyDescent="0.25">
      <c r="H161" s="70"/>
      <c r="I161" s="69"/>
      <c r="J161" s="69"/>
    </row>
    <row r="162" spans="8:10" x14ac:dyDescent="0.25">
      <c r="H162" s="75">
        <f>H159*1000</f>
        <v>10954555.999999998</v>
      </c>
      <c r="I162" s="75">
        <f>I159*1000</f>
        <v>16154158.950000001</v>
      </c>
      <c r="J162" s="75">
        <f>J159*1000</f>
        <v>14523054.49</v>
      </c>
    </row>
    <row r="163" spans="8:10" x14ac:dyDescent="0.25">
      <c r="H163" s="20">
        <f>H162-Пр.3!K58</f>
        <v>0</v>
      </c>
      <c r="I163" s="16">
        <f>I162-16154158.95</f>
        <v>0</v>
      </c>
      <c r="J163" s="20">
        <f>J162-14523054.49</f>
        <v>0</v>
      </c>
    </row>
    <row r="164" spans="8:10" x14ac:dyDescent="0.25">
      <c r="H164" s="66"/>
      <c r="I164" s="66"/>
      <c r="J164" s="66"/>
    </row>
    <row r="165" spans="8:10" x14ac:dyDescent="0.25">
      <c r="H165" s="66"/>
      <c r="I165" s="20"/>
    </row>
    <row r="166" spans="8:10" x14ac:dyDescent="0.25">
      <c r="H166" s="16"/>
      <c r="I166" s="16"/>
    </row>
    <row r="168" spans="8:10" x14ac:dyDescent="0.25">
      <c r="H168" s="66"/>
      <c r="I168" s="66"/>
      <c r="J168" s="66"/>
    </row>
    <row r="169" spans="8:10" x14ac:dyDescent="0.25">
      <c r="H169" s="66"/>
      <c r="I169" s="66"/>
      <c r="J169" s="66"/>
    </row>
  </sheetData>
  <mergeCells count="6">
    <mergeCell ref="A159:G159"/>
    <mergeCell ref="F1:K1"/>
    <mergeCell ref="B2:K2"/>
    <mergeCell ref="E3:K3"/>
    <mergeCell ref="A5:K5"/>
    <mergeCell ref="A6:N6"/>
  </mergeCells>
  <pageMargins left="0.39370078740157483" right="0.15748031496062992" top="0.35433070866141736" bottom="0.15748031496062992" header="0.27559055118110237" footer="0.15748031496062992"/>
  <pageSetup paperSize="9" scale="8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8"/>
  <sheetViews>
    <sheetView zoomScaleSheetLayoutView="80" workbookViewId="0">
      <selection activeCell="B3" sqref="B3:F3"/>
    </sheetView>
  </sheetViews>
  <sheetFormatPr defaultRowHeight="12.75" x14ac:dyDescent="0.2"/>
  <cols>
    <col min="2" max="2" width="57.42578125" customWidth="1"/>
    <col min="4" max="4" width="15.28515625" customWidth="1"/>
    <col min="5" max="5" width="15.140625" customWidth="1"/>
    <col min="6" max="6" width="13.7109375" customWidth="1"/>
    <col min="7" max="7" width="11.5703125" customWidth="1"/>
    <col min="9" max="9" width="12.7109375" bestFit="1" customWidth="1"/>
    <col min="10" max="10" width="16" customWidth="1"/>
  </cols>
  <sheetData>
    <row r="1" spans="1:14" ht="15.75" x14ac:dyDescent="0.25">
      <c r="B1" s="304" t="s">
        <v>471</v>
      </c>
      <c r="C1" s="304"/>
      <c r="D1" s="304"/>
      <c r="E1" s="305"/>
      <c r="F1" s="305"/>
      <c r="G1" s="305"/>
      <c r="H1" s="8"/>
      <c r="I1" s="304"/>
      <c r="J1" s="304"/>
      <c r="K1" s="304"/>
      <c r="L1" s="305"/>
      <c r="M1" s="305"/>
      <c r="N1" s="305"/>
    </row>
    <row r="2" spans="1:14" ht="15.75" x14ac:dyDescent="0.25">
      <c r="B2" s="286" t="s">
        <v>518</v>
      </c>
      <c r="C2" s="286"/>
      <c r="D2" s="286"/>
      <c r="E2" s="286"/>
      <c r="F2" s="286"/>
      <c r="G2" s="286"/>
      <c r="H2" s="8"/>
      <c r="I2" s="8"/>
      <c r="J2" s="8"/>
      <c r="K2" s="8"/>
      <c r="L2" s="8"/>
      <c r="M2" s="8"/>
      <c r="N2" s="8"/>
    </row>
    <row r="3" spans="1:14" ht="15.75" x14ac:dyDescent="0.25">
      <c r="B3" s="286" t="s">
        <v>519</v>
      </c>
      <c r="C3" s="286"/>
      <c r="D3" s="286"/>
      <c r="E3" s="286"/>
      <c r="F3" s="286"/>
      <c r="G3" s="139"/>
      <c r="H3" s="305"/>
      <c r="I3" s="305"/>
      <c r="J3" s="305"/>
      <c r="K3" s="305"/>
      <c r="L3" s="305"/>
      <c r="M3" s="305"/>
      <c r="N3" s="305"/>
    </row>
    <row r="6" spans="1:14" ht="15.75" customHeight="1" x14ac:dyDescent="0.2">
      <c r="A6" s="317" t="s">
        <v>505</v>
      </c>
      <c r="B6" s="317"/>
      <c r="C6" s="317"/>
      <c r="D6" s="317"/>
      <c r="E6" s="317"/>
      <c r="F6" s="317"/>
      <c r="G6" s="318"/>
    </row>
    <row r="7" spans="1:14" ht="30.75" customHeight="1" x14ac:dyDescent="0.2">
      <c r="A7" s="317"/>
      <c r="B7" s="317"/>
      <c r="C7" s="317"/>
      <c r="D7" s="317"/>
      <c r="E7" s="317"/>
      <c r="F7" s="317"/>
      <c r="G7" s="318"/>
    </row>
    <row r="8" spans="1:14" ht="16.5" thickBot="1" x14ac:dyDescent="0.3">
      <c r="A8" s="14"/>
      <c r="B8" s="176"/>
      <c r="C8" s="8"/>
      <c r="D8" s="177"/>
      <c r="E8" s="177"/>
      <c r="G8" s="178" t="s">
        <v>279</v>
      </c>
    </row>
    <row r="9" spans="1:14" ht="51.75" thickBot="1" x14ac:dyDescent="0.25">
      <c r="A9" s="142" t="s">
        <v>53</v>
      </c>
      <c r="B9" s="143" t="s">
        <v>280</v>
      </c>
      <c r="C9" s="87" t="s">
        <v>281</v>
      </c>
      <c r="D9" s="162" t="s">
        <v>435</v>
      </c>
      <c r="E9" s="88" t="s">
        <v>502</v>
      </c>
      <c r="F9" s="163" t="s">
        <v>503</v>
      </c>
      <c r="G9" s="89" t="s">
        <v>278</v>
      </c>
    </row>
    <row r="10" spans="1:14" ht="13.5" thickBot="1" x14ac:dyDescent="0.25">
      <c r="A10" s="90"/>
      <c r="B10" s="179" t="s">
        <v>100</v>
      </c>
      <c r="C10" s="91" t="s">
        <v>127</v>
      </c>
      <c r="D10" s="92" t="s">
        <v>282</v>
      </c>
      <c r="E10" s="92" t="s">
        <v>283</v>
      </c>
      <c r="F10" s="92" t="s">
        <v>284</v>
      </c>
      <c r="G10" s="122" t="s">
        <v>290</v>
      </c>
    </row>
    <row r="11" spans="1:14" ht="13.5" thickBot="1" x14ac:dyDescent="0.25">
      <c r="A11" s="190">
        <v>1</v>
      </c>
      <c r="B11" s="191" t="s">
        <v>285</v>
      </c>
      <c r="C11" s="192" t="s">
        <v>24</v>
      </c>
      <c r="D11" s="193">
        <f>SUM(D12:D16)</f>
        <v>8592.2649999999994</v>
      </c>
      <c r="E11" s="193">
        <f>SUM(E12:E16)</f>
        <v>9874.9609999999993</v>
      </c>
      <c r="F11" s="193">
        <f>SUM(F12:F16)</f>
        <v>9535.436819999999</v>
      </c>
      <c r="G11" s="194">
        <f>F11/E11*100</f>
        <v>96.561766876851465</v>
      </c>
    </row>
    <row r="12" spans="1:14" ht="25.5" x14ac:dyDescent="0.2">
      <c r="A12" s="205">
        <v>2</v>
      </c>
      <c r="B12" s="206" t="s">
        <v>286</v>
      </c>
      <c r="C12" s="207" t="s">
        <v>25</v>
      </c>
      <c r="D12" s="208">
        <f>722.0736+218.06623+3+5</f>
        <v>948.13983000000007</v>
      </c>
      <c r="E12" s="208">
        <f>722.0736+218.06623+18+31.0656+9.38181</f>
        <v>998.58724000000007</v>
      </c>
      <c r="F12" s="208">
        <f>722.0736+14.1+218.06623+31.0656+9.38181</f>
        <v>994.68724000000009</v>
      </c>
      <c r="G12" s="180">
        <f t="shared" ref="G12:G33" si="0">F12/E12*100</f>
        <v>99.609448244101344</v>
      </c>
      <c r="I12" s="97">
        <f>E12*1000</f>
        <v>998587.24000000011</v>
      </c>
      <c r="J12" s="97">
        <f>F12*1000</f>
        <v>994687.24000000011</v>
      </c>
    </row>
    <row r="13" spans="1:14" ht="42" customHeight="1" x14ac:dyDescent="0.2">
      <c r="A13" s="209">
        <v>3</v>
      </c>
      <c r="B13" s="161" t="s">
        <v>19</v>
      </c>
      <c r="C13" s="198" t="s">
        <v>26</v>
      </c>
      <c r="D13" s="93">
        <f>601.728+181.72186</f>
        <v>783.44985999999994</v>
      </c>
      <c r="E13" s="93">
        <f>661.9008+199.89404+25.8816+7.81624</f>
        <v>895.49268000000006</v>
      </c>
      <c r="F13" s="93">
        <f>661.9008+199.89404+25.8816+7.81624</f>
        <v>895.49268000000006</v>
      </c>
      <c r="G13" s="181">
        <f t="shared" si="0"/>
        <v>100</v>
      </c>
      <c r="I13" s="97">
        <f t="shared" ref="I13:I33" si="1">E13*1000</f>
        <v>895492.68</v>
      </c>
      <c r="J13" s="97">
        <f t="shared" ref="J13:J33" si="2">F13*1000</f>
        <v>895492.68</v>
      </c>
    </row>
    <row r="14" spans="1:14" ht="38.25" x14ac:dyDescent="0.2">
      <c r="A14" s="209">
        <v>4</v>
      </c>
      <c r="B14" s="161" t="s">
        <v>20</v>
      </c>
      <c r="C14" s="198" t="s">
        <v>27</v>
      </c>
      <c r="D14" s="93">
        <f>(2989246.23+902752.36+51020+31776.62+900000+35500+17700+6200+2942+180212.25+90737)/1000</f>
        <v>5208.0864599999995</v>
      </c>
      <c r="E14" s="93">
        <f>(15561+4699+3012608.43+909807.18+976607.87+990000+3000+3942+94639+21079+6365+107971.1+32607.27)/1000</f>
        <v>6178.8868499999999</v>
      </c>
      <c r="F14" s="93">
        <f>15.561+4.699+3000.7922+900.24843+855.29786+864.93294+0.3+2.749+94.48879+20.883+6.315+78.09534+23.58479</f>
        <v>5867.9473499999995</v>
      </c>
      <c r="G14" s="181">
        <f t="shared" si="0"/>
        <v>94.967710081954309</v>
      </c>
      <c r="I14" s="97">
        <f t="shared" si="1"/>
        <v>6178886.8499999996</v>
      </c>
      <c r="J14" s="97">
        <f t="shared" si="2"/>
        <v>5867947.3499999996</v>
      </c>
    </row>
    <row r="15" spans="1:14" x14ac:dyDescent="0.2">
      <c r="A15" s="209">
        <v>5</v>
      </c>
      <c r="B15" s="161" t="s">
        <v>218</v>
      </c>
      <c r="C15" s="198" t="s">
        <v>219</v>
      </c>
      <c r="D15" s="93">
        <v>10</v>
      </c>
      <c r="E15" s="93">
        <v>10</v>
      </c>
      <c r="F15" s="93">
        <v>0</v>
      </c>
      <c r="G15" s="181">
        <f t="shared" si="0"/>
        <v>0</v>
      </c>
      <c r="I15" s="97">
        <f t="shared" si="1"/>
        <v>10000</v>
      </c>
      <c r="J15" s="97">
        <f t="shared" si="2"/>
        <v>0</v>
      </c>
    </row>
    <row r="16" spans="1:14" x14ac:dyDescent="0.2">
      <c r="A16" s="209">
        <v>6</v>
      </c>
      <c r="B16" s="161" t="s">
        <v>144</v>
      </c>
      <c r="C16" s="198" t="s">
        <v>57</v>
      </c>
      <c r="D16" s="93">
        <f>(1074304.8+324440.05+55476+6000+148947+19500+13921)/1000</f>
        <v>1642.5888500000001</v>
      </c>
      <c r="E16" s="93">
        <f>(1138542.8+343840.05+248448+35941.92+10854.46+14367)/1000</f>
        <v>1791.99423</v>
      </c>
      <c r="F16" s="93">
        <f>(1138163.07+343228.58+234754.52+35941.92+10854.46+14367)/1000</f>
        <v>1777.3095499999999</v>
      </c>
      <c r="G16" s="181">
        <f t="shared" si="0"/>
        <v>99.180539772162106</v>
      </c>
      <c r="I16" s="97">
        <f t="shared" si="1"/>
        <v>1791994.23</v>
      </c>
      <c r="J16" s="97">
        <f t="shared" si="2"/>
        <v>1777309.55</v>
      </c>
    </row>
    <row r="17" spans="1:10" x14ac:dyDescent="0.2">
      <c r="A17" s="209">
        <v>7</v>
      </c>
      <c r="B17" s="199" t="s">
        <v>146</v>
      </c>
      <c r="C17" s="200" t="s">
        <v>147</v>
      </c>
      <c r="D17" s="86">
        <f>D18</f>
        <v>432</v>
      </c>
      <c r="E17" s="86">
        <f>E18</f>
        <v>450.26599999999996</v>
      </c>
      <c r="F17" s="86">
        <f>F18</f>
        <v>450.26599999999996</v>
      </c>
      <c r="G17" s="181">
        <f t="shared" si="0"/>
        <v>100</v>
      </c>
      <c r="I17" s="97">
        <f t="shared" si="1"/>
        <v>450265.99999999994</v>
      </c>
      <c r="J17" s="97">
        <f t="shared" si="2"/>
        <v>450265.99999999994</v>
      </c>
    </row>
    <row r="18" spans="1:10" x14ac:dyDescent="0.2">
      <c r="A18" s="209">
        <v>8</v>
      </c>
      <c r="B18" s="161" t="s">
        <v>148</v>
      </c>
      <c r="C18" s="198" t="s">
        <v>29</v>
      </c>
      <c r="D18" s="93">
        <f>432</f>
        <v>432</v>
      </c>
      <c r="E18" s="93">
        <f>(322766.49+96223.1+31276.41)/1000</f>
        <v>450.26599999999996</v>
      </c>
      <c r="F18" s="93">
        <f>(322766.49+96223.1+31276.41)/1000</f>
        <v>450.26599999999996</v>
      </c>
      <c r="G18" s="181">
        <f t="shared" si="0"/>
        <v>100</v>
      </c>
      <c r="I18" s="97">
        <f t="shared" si="1"/>
        <v>450265.99999999994</v>
      </c>
      <c r="J18" s="97">
        <f t="shared" si="2"/>
        <v>450265.99999999994</v>
      </c>
    </row>
    <row r="19" spans="1:10" ht="25.5" x14ac:dyDescent="0.2">
      <c r="A19" s="209">
        <v>9</v>
      </c>
      <c r="B19" s="84" t="s">
        <v>186</v>
      </c>
      <c r="C19" s="201" t="s">
        <v>195</v>
      </c>
      <c r="D19" s="94">
        <f>D21+D20</f>
        <v>23</v>
      </c>
      <c r="E19" s="94">
        <f>E21+E20</f>
        <v>260.89499999999998</v>
      </c>
      <c r="F19" s="94">
        <f t="shared" ref="F19" si="3">F21+F20</f>
        <v>258.61500000000001</v>
      </c>
      <c r="G19" s="181">
        <f t="shared" si="0"/>
        <v>99.126085206692366</v>
      </c>
      <c r="I19" s="97">
        <f t="shared" si="1"/>
        <v>260894.99999999997</v>
      </c>
      <c r="J19" s="97">
        <f t="shared" si="2"/>
        <v>258615</v>
      </c>
    </row>
    <row r="20" spans="1:10" x14ac:dyDescent="0.2">
      <c r="A20" s="209">
        <v>10</v>
      </c>
      <c r="B20" s="85" t="s">
        <v>287</v>
      </c>
      <c r="C20" s="202" t="s">
        <v>187</v>
      </c>
      <c r="D20" s="95">
        <v>0</v>
      </c>
      <c r="E20" s="95">
        <f>216.025+9.975+11.37+0.525</f>
        <v>237.89500000000001</v>
      </c>
      <c r="F20" s="95">
        <f>216.025+9.975+11.37+0.525</f>
        <v>237.89500000000001</v>
      </c>
      <c r="G20" s="181">
        <f t="shared" si="0"/>
        <v>100</v>
      </c>
      <c r="I20" s="97">
        <f t="shared" si="1"/>
        <v>237895</v>
      </c>
      <c r="J20" s="97">
        <f t="shared" si="2"/>
        <v>237895</v>
      </c>
    </row>
    <row r="21" spans="1:10" ht="25.5" x14ac:dyDescent="0.2">
      <c r="A21" s="209">
        <v>11</v>
      </c>
      <c r="B21" s="137" t="s">
        <v>231</v>
      </c>
      <c r="C21" s="203" t="s">
        <v>232</v>
      </c>
      <c r="D21" s="93">
        <v>23</v>
      </c>
      <c r="E21" s="93">
        <v>23</v>
      </c>
      <c r="F21" s="93">
        <f>19.72+1</f>
        <v>20.72</v>
      </c>
      <c r="G21" s="181">
        <f t="shared" si="0"/>
        <v>90.086956521739125</v>
      </c>
      <c r="I21" s="97">
        <f t="shared" si="1"/>
        <v>23000</v>
      </c>
      <c r="J21" s="97">
        <f t="shared" si="2"/>
        <v>20720</v>
      </c>
    </row>
    <row r="22" spans="1:10" x14ac:dyDescent="0.2">
      <c r="A22" s="209">
        <v>12</v>
      </c>
      <c r="B22" s="199" t="s">
        <v>149</v>
      </c>
      <c r="C22" s="200" t="s">
        <v>150</v>
      </c>
      <c r="D22" s="86">
        <f>D23+D24</f>
        <v>798.29100000000005</v>
      </c>
      <c r="E22" s="86">
        <f>E23+E24</f>
        <v>1195.7107499999997</v>
      </c>
      <c r="F22" s="86">
        <f t="shared" ref="F22" si="4">F23+F24</f>
        <v>1074.49056</v>
      </c>
      <c r="G22" s="181">
        <f t="shared" si="0"/>
        <v>89.862080774970053</v>
      </c>
      <c r="I22" s="97">
        <f t="shared" si="1"/>
        <v>1195710.7499999998</v>
      </c>
      <c r="J22" s="97">
        <f t="shared" si="2"/>
        <v>1074490.56</v>
      </c>
    </row>
    <row r="23" spans="1:10" x14ac:dyDescent="0.2">
      <c r="A23" s="209">
        <v>13</v>
      </c>
      <c r="B23" s="161" t="s">
        <v>151</v>
      </c>
      <c r="C23" s="198" t="s">
        <v>58</v>
      </c>
      <c r="D23" s="68">
        <f>695.2+103.091</f>
        <v>798.29100000000005</v>
      </c>
      <c r="E23" s="68">
        <f>340.717+751.90275+103.091</f>
        <v>1195.7107499999997</v>
      </c>
      <c r="F23" s="68">
        <f>340.717+630.68256+103.091</f>
        <v>1074.49056</v>
      </c>
      <c r="G23" s="181">
        <f t="shared" si="0"/>
        <v>89.862080774970053</v>
      </c>
      <c r="I23" s="97">
        <f t="shared" si="1"/>
        <v>1195710.7499999998</v>
      </c>
      <c r="J23" s="97">
        <f t="shared" si="2"/>
        <v>1074490.56</v>
      </c>
    </row>
    <row r="24" spans="1:10" x14ac:dyDescent="0.2">
      <c r="A24" s="209">
        <v>14</v>
      </c>
      <c r="B24" s="161" t="s">
        <v>264</v>
      </c>
      <c r="C24" s="204" t="s">
        <v>262</v>
      </c>
      <c r="D24" s="68">
        <v>0</v>
      </c>
      <c r="E24" s="68">
        <v>0</v>
      </c>
      <c r="F24" s="68">
        <v>0</v>
      </c>
      <c r="G24" s="181">
        <v>0</v>
      </c>
      <c r="I24" s="97">
        <f t="shared" si="1"/>
        <v>0</v>
      </c>
      <c r="J24" s="97">
        <f t="shared" si="2"/>
        <v>0</v>
      </c>
    </row>
    <row r="25" spans="1:10" x14ac:dyDescent="0.2">
      <c r="A25" s="209">
        <v>15</v>
      </c>
      <c r="B25" s="199" t="s">
        <v>152</v>
      </c>
      <c r="C25" s="200" t="s">
        <v>30</v>
      </c>
      <c r="D25" s="86">
        <f>D26+D27</f>
        <v>1048</v>
      </c>
      <c r="E25" s="86">
        <f t="shared" ref="E25:F25" si="5">E26+E27</f>
        <v>4241.3262000000004</v>
      </c>
      <c r="F25" s="86">
        <f t="shared" si="5"/>
        <v>3073.6861100000001</v>
      </c>
      <c r="G25" s="181">
        <f t="shared" si="0"/>
        <v>72.469929570614013</v>
      </c>
      <c r="I25" s="97">
        <f t="shared" si="1"/>
        <v>4241326.2</v>
      </c>
      <c r="J25" s="97">
        <f t="shared" si="2"/>
        <v>3073686.11</v>
      </c>
    </row>
    <row r="26" spans="1:10" x14ac:dyDescent="0.2">
      <c r="A26" s="209">
        <v>16</v>
      </c>
      <c r="B26" s="161" t="s">
        <v>153</v>
      </c>
      <c r="C26" s="198" t="s">
        <v>31</v>
      </c>
      <c r="D26" s="68">
        <v>1048</v>
      </c>
      <c r="E26" s="68">
        <f>770+1309.6442+112.382+168+1764</f>
        <v>4124.0262000000002</v>
      </c>
      <c r="F26" s="93">
        <f>652.5859+259.8146+112.382+167.60361+1764</f>
        <v>2956.3861099999999</v>
      </c>
      <c r="G26" s="181">
        <f t="shared" si="0"/>
        <v>71.68688962257319</v>
      </c>
      <c r="I26" s="97">
        <f t="shared" si="1"/>
        <v>4124026.2</v>
      </c>
      <c r="J26" s="97">
        <f t="shared" si="2"/>
        <v>2956386.11</v>
      </c>
    </row>
    <row r="27" spans="1:10" x14ac:dyDescent="0.2">
      <c r="A27" s="209">
        <v>17</v>
      </c>
      <c r="B27" s="161" t="s">
        <v>494</v>
      </c>
      <c r="C27" s="198" t="s">
        <v>107</v>
      </c>
      <c r="D27" s="68">
        <v>0</v>
      </c>
      <c r="E27" s="68">
        <v>117.3</v>
      </c>
      <c r="F27" s="93">
        <v>117.3</v>
      </c>
      <c r="G27" s="181">
        <f t="shared" si="0"/>
        <v>100</v>
      </c>
      <c r="I27" s="97"/>
      <c r="J27" s="97"/>
    </row>
    <row r="28" spans="1:10" x14ac:dyDescent="0.2">
      <c r="A28" s="209">
        <v>18</v>
      </c>
      <c r="B28" s="199" t="s">
        <v>154</v>
      </c>
      <c r="C28" s="200" t="s">
        <v>226</v>
      </c>
      <c r="D28" s="86">
        <f>D29</f>
        <v>1</v>
      </c>
      <c r="E28" s="86">
        <f>E29</f>
        <v>1</v>
      </c>
      <c r="F28" s="86">
        <f>F29</f>
        <v>1</v>
      </c>
      <c r="G28" s="181">
        <f t="shared" si="0"/>
        <v>100</v>
      </c>
      <c r="I28" s="97">
        <f t="shared" si="1"/>
        <v>1000</v>
      </c>
      <c r="J28" s="97">
        <f t="shared" si="2"/>
        <v>1000</v>
      </c>
    </row>
    <row r="29" spans="1:10" x14ac:dyDescent="0.2">
      <c r="A29" s="209">
        <v>19</v>
      </c>
      <c r="B29" s="161" t="s">
        <v>212</v>
      </c>
      <c r="C29" s="198" t="s">
        <v>28</v>
      </c>
      <c r="D29" s="93">
        <v>1</v>
      </c>
      <c r="E29" s="93">
        <v>1</v>
      </c>
      <c r="F29" s="93">
        <v>1</v>
      </c>
      <c r="G29" s="181">
        <f t="shared" si="0"/>
        <v>100</v>
      </c>
      <c r="I29" s="97">
        <f t="shared" si="1"/>
        <v>1000</v>
      </c>
      <c r="J29" s="97">
        <f t="shared" si="2"/>
        <v>1000</v>
      </c>
    </row>
    <row r="30" spans="1:10" x14ac:dyDescent="0.2">
      <c r="A30" s="209">
        <v>20</v>
      </c>
      <c r="B30" s="151" t="s">
        <v>288</v>
      </c>
      <c r="C30" s="200">
        <v>1000</v>
      </c>
      <c r="D30" s="86">
        <f>D31+D32</f>
        <v>60</v>
      </c>
      <c r="E30" s="86">
        <f>E31+E32</f>
        <v>130</v>
      </c>
      <c r="F30" s="86">
        <f t="shared" ref="F30" si="6">F31+F32</f>
        <v>129.56</v>
      </c>
      <c r="G30" s="181">
        <f t="shared" si="0"/>
        <v>99.66153846153847</v>
      </c>
      <c r="I30" s="97">
        <f t="shared" si="1"/>
        <v>130000</v>
      </c>
      <c r="J30" s="97">
        <f t="shared" si="2"/>
        <v>129560</v>
      </c>
    </row>
    <row r="31" spans="1:10" x14ac:dyDescent="0.2">
      <c r="A31" s="209">
        <v>21</v>
      </c>
      <c r="B31" s="154" t="s">
        <v>241</v>
      </c>
      <c r="C31" s="198">
        <v>1001</v>
      </c>
      <c r="D31" s="93">
        <v>60</v>
      </c>
      <c r="E31" s="93">
        <v>60</v>
      </c>
      <c r="F31" s="93">
        <v>59.56</v>
      </c>
      <c r="G31" s="181">
        <f t="shared" si="0"/>
        <v>99.266666666666666</v>
      </c>
      <c r="I31" s="97">
        <f t="shared" si="1"/>
        <v>60000</v>
      </c>
      <c r="J31" s="97">
        <f t="shared" si="2"/>
        <v>59560</v>
      </c>
    </row>
    <row r="32" spans="1:10" ht="13.5" thickBot="1" x14ac:dyDescent="0.25">
      <c r="A32" s="210">
        <v>22</v>
      </c>
      <c r="B32" s="175" t="s">
        <v>389</v>
      </c>
      <c r="C32" s="211">
        <v>1003</v>
      </c>
      <c r="D32" s="96">
        <v>0</v>
      </c>
      <c r="E32" s="96">
        <v>70</v>
      </c>
      <c r="F32" s="96">
        <v>70</v>
      </c>
      <c r="G32" s="212">
        <v>0</v>
      </c>
      <c r="I32" s="97">
        <f t="shared" si="1"/>
        <v>70000</v>
      </c>
      <c r="J32" s="97">
        <f t="shared" si="2"/>
        <v>70000</v>
      </c>
    </row>
    <row r="33" spans="1:10" ht="13.5" thickBot="1" x14ac:dyDescent="0.25">
      <c r="A33" s="315" t="s">
        <v>289</v>
      </c>
      <c r="B33" s="316"/>
      <c r="C33" s="195" t="s">
        <v>155</v>
      </c>
      <c r="D33" s="196">
        <f>D11+D17+D22+D25+D30+D19+D28</f>
        <v>10954.555999999999</v>
      </c>
      <c r="E33" s="196">
        <f>E11+E17+E22+E25+E30+E19+E28</f>
        <v>16154.158950000001</v>
      </c>
      <c r="F33" s="196">
        <f>F11+F17+F22+F25+F30+F19+F28</f>
        <v>14523.054489999999</v>
      </c>
      <c r="G33" s="197">
        <f t="shared" si="0"/>
        <v>89.902882192452353</v>
      </c>
      <c r="I33" s="97">
        <f t="shared" si="1"/>
        <v>16154158.950000001</v>
      </c>
      <c r="J33" s="97">
        <f t="shared" si="2"/>
        <v>14523054.489999998</v>
      </c>
    </row>
    <row r="36" spans="1:10" x14ac:dyDescent="0.2">
      <c r="D36" s="97">
        <f>D33*1000</f>
        <v>10954555.999999998</v>
      </c>
      <c r="E36" s="97">
        <f t="shared" ref="E36:F36" si="7">E33*1000</f>
        <v>16154158.950000001</v>
      </c>
      <c r="F36" s="97">
        <f t="shared" si="7"/>
        <v>14523054.489999998</v>
      </c>
    </row>
    <row r="38" spans="1:10" x14ac:dyDescent="0.2">
      <c r="D38" s="97">
        <f>12617301-D36</f>
        <v>1662745.0000000019</v>
      </c>
      <c r="E38" s="97">
        <f>E36-16154158.95</f>
        <v>0</v>
      </c>
      <c r="F38" s="97">
        <f>F36-14523054.49</f>
        <v>0</v>
      </c>
    </row>
  </sheetData>
  <mergeCells count="7">
    <mergeCell ref="I1:N1"/>
    <mergeCell ref="H3:N3"/>
    <mergeCell ref="A33:B33"/>
    <mergeCell ref="B1:G1"/>
    <mergeCell ref="B3:F3"/>
    <mergeCell ref="B2:G2"/>
    <mergeCell ref="A6:G7"/>
  </mergeCells>
  <pageMargins left="0.39370078740157483" right="0.19685039370078741" top="0.74803149606299213" bottom="0.74803149606299213" header="0.31496062992125984" footer="0.31496062992125984"/>
  <pageSetup paperSize="9" scale="6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1"/>
  <sheetViews>
    <sheetView workbookViewId="0">
      <selection activeCell="B3" sqref="B3:C3"/>
    </sheetView>
  </sheetViews>
  <sheetFormatPr defaultRowHeight="12.75" x14ac:dyDescent="0.2"/>
  <cols>
    <col min="1" max="1" width="28.28515625" customWidth="1"/>
    <col min="2" max="2" width="42.28515625" customWidth="1"/>
    <col min="3" max="3" width="49.140625" customWidth="1"/>
  </cols>
  <sheetData>
    <row r="1" spans="1:10" ht="15.75" x14ac:dyDescent="0.25">
      <c r="B1" s="304" t="s">
        <v>420</v>
      </c>
      <c r="C1" s="304"/>
      <c r="D1" s="8"/>
      <c r="E1" s="304"/>
      <c r="F1" s="304"/>
      <c r="G1" s="304"/>
      <c r="H1" s="305"/>
      <c r="I1" s="305"/>
      <c r="J1" s="305"/>
    </row>
    <row r="2" spans="1:10" ht="15.75" x14ac:dyDescent="0.25">
      <c r="B2" s="286" t="s">
        <v>419</v>
      </c>
      <c r="C2" s="286"/>
      <c r="D2" s="8"/>
      <c r="E2" s="8"/>
      <c r="F2" s="8"/>
      <c r="G2" s="8"/>
      <c r="H2" s="8"/>
      <c r="I2" s="8"/>
      <c r="J2" s="8"/>
    </row>
    <row r="3" spans="1:10" ht="15.75" x14ac:dyDescent="0.25">
      <c r="B3" s="286" t="s">
        <v>520</v>
      </c>
      <c r="C3" s="286"/>
      <c r="D3" s="305"/>
      <c r="E3" s="305"/>
      <c r="F3" s="305"/>
      <c r="G3" s="305"/>
      <c r="H3" s="305"/>
      <c r="I3" s="305"/>
      <c r="J3" s="305"/>
    </row>
    <row r="6" spans="1:10" ht="15.75" customHeight="1" x14ac:dyDescent="0.2">
      <c r="A6" s="317" t="s">
        <v>506</v>
      </c>
      <c r="B6" s="317"/>
      <c r="C6" s="317"/>
    </row>
    <row r="7" spans="1:10" ht="32.25" customHeight="1" x14ac:dyDescent="0.2">
      <c r="A7" s="317"/>
      <c r="B7" s="317"/>
      <c r="C7" s="317"/>
    </row>
    <row r="8" spans="1:10" ht="16.5" thickBot="1" x14ac:dyDescent="0.25">
      <c r="A8" s="14"/>
      <c r="B8" s="176"/>
      <c r="C8" s="178" t="s">
        <v>279</v>
      </c>
    </row>
    <row r="9" spans="1:10" ht="48" thickBot="1" x14ac:dyDescent="0.25">
      <c r="A9" s="130" t="s">
        <v>436</v>
      </c>
      <c r="B9" s="131" t="s">
        <v>507</v>
      </c>
      <c r="C9" s="132" t="s">
        <v>508</v>
      </c>
    </row>
    <row r="10" spans="1:10" x14ac:dyDescent="0.2">
      <c r="A10" s="128" t="s">
        <v>100</v>
      </c>
      <c r="B10" s="182">
        <v>2</v>
      </c>
      <c r="C10" s="129" t="s">
        <v>282</v>
      </c>
    </row>
    <row r="11" spans="1:10" ht="16.5" thickBot="1" x14ac:dyDescent="0.25">
      <c r="A11" s="133">
        <v>10</v>
      </c>
      <c r="B11" s="134">
        <v>0</v>
      </c>
      <c r="C11" s="135">
        <v>10</v>
      </c>
    </row>
  </sheetData>
  <mergeCells count="6">
    <mergeCell ref="A6:C7"/>
    <mergeCell ref="B1:C1"/>
    <mergeCell ref="E1:J1"/>
    <mergeCell ref="B2:C2"/>
    <mergeCell ref="B3:C3"/>
    <mergeCell ref="D3:J3"/>
  </mergeCells>
  <pageMargins left="0.39370078740157483" right="0.19685039370078741" top="0.74803149606299213" bottom="0.74803149606299213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Прилож 1</vt:lpstr>
      <vt:lpstr>Пр.2</vt:lpstr>
      <vt:lpstr>Пр.3</vt:lpstr>
      <vt:lpstr>Пр.4</vt:lpstr>
      <vt:lpstr>Пр.5</vt:lpstr>
      <vt:lpstr>Пр.6.</vt:lpstr>
      <vt:lpstr>Пр.7</vt:lpstr>
      <vt:lpstr>Пр.2!Область_печати</vt:lpstr>
      <vt:lpstr>Пр.3!Область_печати</vt:lpstr>
      <vt:lpstr>Пр.4!Область_печати</vt:lpstr>
      <vt:lpstr>Пр.5!Область_печати</vt:lpstr>
      <vt:lpstr>Пр.6.!Область_печати</vt:lpstr>
      <vt:lpstr>Пр.7!Область_печати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2023-02-11T09:02:54Z</cp:lastPrinted>
  <dcterms:created xsi:type="dcterms:W3CDTF">1996-10-08T23:32:33Z</dcterms:created>
  <dcterms:modified xsi:type="dcterms:W3CDTF">2023-03-28T03:19:48Z</dcterms:modified>
</cp:coreProperties>
</file>