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6 сессия\Решение № 6-23 от 23.05.2023\"/>
    </mc:Choice>
  </mc:AlternateContent>
  <xr:revisionPtr revIDLastSave="0" documentId="13_ncr:1_{E022B4C1-7F06-4D9D-8351-E87A8DFAC4F5}" xr6:coauthVersionLast="47" xr6:coauthVersionMax="47" xr10:uidLastSave="{00000000-0000-0000-0000-000000000000}"/>
  <bookViews>
    <workbookView xWindow="750" yWindow="780" windowWidth="18450" windowHeight="1431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Пр.3!$A$1:$N$50</definedName>
    <definedName name="_xlnm.Print_Area" localSheetId="3">Пр.4!$A$1:$J$142</definedName>
    <definedName name="_xlnm.Print_Area" localSheetId="4">Пр.5!$A$1:$K$143</definedName>
    <definedName name="_xlnm.Print_Area" localSheetId="5">'Пр.6.'!$A$1:$G$33</definedName>
    <definedName name="_xlnm.Print_Area" localSheetId="6">Пр.7!$A$1:$C$11</definedName>
  </definedNames>
  <calcPr calcId="181029" calcOnSave="0"/>
</workbook>
</file>

<file path=xl/calcChain.xml><?xml version="1.0" encoding="utf-8"?>
<calcChain xmlns="http://schemas.openxmlformats.org/spreadsheetml/2006/main">
  <c r="H85" i="4" l="1"/>
  <c r="H103" i="4"/>
  <c r="G103" i="4"/>
  <c r="G107" i="4"/>
  <c r="F107" i="4"/>
  <c r="F103" i="4"/>
  <c r="G89" i="4"/>
  <c r="F89" i="4"/>
  <c r="G85" i="4"/>
  <c r="F85" i="4"/>
  <c r="G73" i="4"/>
  <c r="H65" i="4"/>
  <c r="G65" i="4"/>
  <c r="F73" i="4"/>
  <c r="F65" i="4"/>
  <c r="H61" i="4"/>
  <c r="G61" i="4"/>
  <c r="H57" i="4"/>
  <c r="G57" i="4"/>
  <c r="F57" i="4"/>
  <c r="H51" i="4"/>
  <c r="H45" i="4"/>
  <c r="G15" i="4"/>
  <c r="H15" i="4"/>
  <c r="F15" i="4"/>
  <c r="J52" i="6"/>
  <c r="J25" i="6"/>
  <c r="J99" i="6"/>
  <c r="J94" i="6" s="1"/>
  <c r="I75" i="6"/>
  <c r="I51" i="6"/>
  <c r="I50" i="6"/>
  <c r="I49" i="6" s="1"/>
  <c r="J117" i="6"/>
  <c r="I117" i="6"/>
  <c r="K37" i="6"/>
  <c r="K38" i="6"/>
  <c r="K39" i="6"/>
  <c r="M12" i="3"/>
  <c r="L21" i="3"/>
  <c r="K43" i="3"/>
  <c r="K21" i="3"/>
  <c r="K11" i="3" s="1"/>
  <c r="K13" i="3"/>
  <c r="F18" i="8"/>
  <c r="F26" i="8"/>
  <c r="E26" i="8"/>
  <c r="F23" i="8"/>
  <c r="E23" i="8"/>
  <c r="E22" i="8" s="1"/>
  <c r="F20" i="8"/>
  <c r="E20" i="8"/>
  <c r="D20" i="8"/>
  <c r="E18" i="8"/>
  <c r="E17" i="8" s="1"/>
  <c r="F16" i="8"/>
  <c r="E16" i="8"/>
  <c r="F14" i="8"/>
  <c r="E14" i="8"/>
  <c r="F13" i="8"/>
  <c r="F11" i="8" s="1"/>
  <c r="F12" i="8"/>
  <c r="E12" i="8"/>
  <c r="E13" i="8"/>
  <c r="E19" i="8"/>
  <c r="E25" i="8"/>
  <c r="E28" i="8"/>
  <c r="E30" i="8"/>
  <c r="D23" i="8"/>
  <c r="D16" i="8"/>
  <c r="D14" i="8"/>
  <c r="D13" i="8"/>
  <c r="D12" i="8"/>
  <c r="J86" i="6" l="1"/>
  <c r="J51" i="6"/>
  <c r="J50" i="6" s="1"/>
  <c r="J49" i="6" s="1"/>
  <c r="I106" i="6"/>
  <c r="I105" i="6" s="1"/>
  <c r="I24" i="6" l="1"/>
  <c r="I23" i="6" s="1"/>
  <c r="O14" i="6" l="1"/>
  <c r="O15" i="6"/>
  <c r="M16" i="6"/>
  <c r="N16" i="6"/>
  <c r="O16" i="6"/>
  <c r="M17" i="6"/>
  <c r="N17" i="6"/>
  <c r="O17" i="6"/>
  <c r="M21" i="6"/>
  <c r="N21" i="6"/>
  <c r="O21" i="6"/>
  <c r="M22" i="6"/>
  <c r="N22" i="6"/>
  <c r="O22" i="6"/>
  <c r="M25" i="6"/>
  <c r="N25" i="6"/>
  <c r="O25" i="6"/>
  <c r="M26" i="6"/>
  <c r="N26" i="6"/>
  <c r="O26" i="6"/>
  <c r="M27" i="6"/>
  <c r="N27" i="6"/>
  <c r="O27" i="6"/>
  <c r="M28" i="6"/>
  <c r="N28" i="6"/>
  <c r="O28" i="6"/>
  <c r="M29" i="6"/>
  <c r="N29" i="6"/>
  <c r="O29" i="6"/>
  <c r="P28" i="6" s="1"/>
  <c r="M30" i="6"/>
  <c r="N30" i="6"/>
  <c r="O30" i="6"/>
  <c r="M31" i="6"/>
  <c r="N31" i="6"/>
  <c r="O31" i="6"/>
  <c r="M32" i="6"/>
  <c r="N32" i="6"/>
  <c r="O32" i="6"/>
  <c r="M33" i="6"/>
  <c r="N33" i="6"/>
  <c r="O33" i="6"/>
  <c r="M34" i="6"/>
  <c r="N34" i="6"/>
  <c r="O34" i="6"/>
  <c r="M35" i="6"/>
  <c r="N35" i="6"/>
  <c r="O35" i="6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8" i="6"/>
  <c r="N48" i="6"/>
  <c r="O48" i="6"/>
  <c r="M52" i="6"/>
  <c r="N52" i="6"/>
  <c r="O52" i="6"/>
  <c r="M53" i="6"/>
  <c r="N53" i="6"/>
  <c r="O53" i="6"/>
  <c r="M54" i="6"/>
  <c r="N54" i="6"/>
  <c r="O54" i="6"/>
  <c r="M55" i="6"/>
  <c r="N55" i="6"/>
  <c r="O55" i="6"/>
  <c r="M56" i="6"/>
  <c r="N56" i="6"/>
  <c r="O56" i="6"/>
  <c r="M57" i="6"/>
  <c r="N57" i="6"/>
  <c r="O57" i="6"/>
  <c r="M58" i="6"/>
  <c r="N58" i="6"/>
  <c r="O58" i="6"/>
  <c r="M59" i="6"/>
  <c r="N59" i="6"/>
  <c r="O59" i="6"/>
  <c r="N60" i="6"/>
  <c r="O60" i="6"/>
  <c r="M61" i="6"/>
  <c r="N61" i="6"/>
  <c r="O61" i="6"/>
  <c r="M62" i="6"/>
  <c r="N62" i="6"/>
  <c r="O62" i="6"/>
  <c r="M65" i="6"/>
  <c r="N65" i="6"/>
  <c r="O65" i="6"/>
  <c r="M70" i="6"/>
  <c r="N70" i="6"/>
  <c r="O70" i="6"/>
  <c r="M71" i="6"/>
  <c r="N71" i="6"/>
  <c r="O71" i="6"/>
  <c r="M72" i="6"/>
  <c r="N72" i="6"/>
  <c r="O72" i="6"/>
  <c r="M73" i="6"/>
  <c r="N73" i="6"/>
  <c r="O73" i="6"/>
  <c r="M74" i="6"/>
  <c r="N74" i="6"/>
  <c r="O74" i="6"/>
  <c r="M75" i="6"/>
  <c r="N75" i="6"/>
  <c r="O75" i="6"/>
  <c r="M76" i="6"/>
  <c r="N76" i="6"/>
  <c r="O76" i="6"/>
  <c r="M80" i="6"/>
  <c r="N80" i="6"/>
  <c r="O80" i="6"/>
  <c r="M81" i="6"/>
  <c r="N81" i="6"/>
  <c r="O81" i="6"/>
  <c r="M82" i="6"/>
  <c r="N82" i="6"/>
  <c r="O82" i="6"/>
  <c r="M83" i="6"/>
  <c r="N83" i="6"/>
  <c r="O83" i="6"/>
  <c r="M84" i="6"/>
  <c r="N84" i="6"/>
  <c r="O84" i="6"/>
  <c r="M87" i="6"/>
  <c r="N87" i="6"/>
  <c r="O87" i="6"/>
  <c r="M90" i="6"/>
  <c r="N90" i="6"/>
  <c r="O90" i="6"/>
  <c r="M95" i="6"/>
  <c r="N95" i="6"/>
  <c r="O95" i="6"/>
  <c r="M96" i="6"/>
  <c r="N96" i="6"/>
  <c r="O96" i="6"/>
  <c r="M97" i="6"/>
  <c r="N97" i="6"/>
  <c r="O97" i="6"/>
  <c r="M98" i="6"/>
  <c r="N98" i="6"/>
  <c r="O98" i="6"/>
  <c r="M99" i="6"/>
  <c r="N99" i="6"/>
  <c r="O99" i="6"/>
  <c r="M102" i="6"/>
  <c r="N102" i="6"/>
  <c r="O102" i="6"/>
  <c r="M107" i="6"/>
  <c r="N107" i="6"/>
  <c r="O107" i="6"/>
  <c r="M108" i="6"/>
  <c r="N108" i="6"/>
  <c r="O108" i="6"/>
  <c r="M110" i="6"/>
  <c r="N110" i="6"/>
  <c r="O110" i="6"/>
  <c r="M111" i="6"/>
  <c r="N111" i="6"/>
  <c r="O111" i="6"/>
  <c r="M112" i="6"/>
  <c r="N112" i="6"/>
  <c r="O112" i="6"/>
  <c r="M114" i="6"/>
  <c r="N114" i="6"/>
  <c r="O114" i="6"/>
  <c r="M115" i="6"/>
  <c r="N115" i="6"/>
  <c r="O115" i="6"/>
  <c r="M119" i="6"/>
  <c r="N119" i="6"/>
  <c r="O119" i="6"/>
  <c r="M126" i="6"/>
  <c r="N126" i="6"/>
  <c r="O126" i="6"/>
  <c r="M130" i="6"/>
  <c r="N130" i="6"/>
  <c r="O130" i="6"/>
  <c r="M137" i="6"/>
  <c r="N137" i="6"/>
  <c r="O137" i="6"/>
  <c r="M142" i="6"/>
  <c r="N142" i="6"/>
  <c r="O142" i="6"/>
  <c r="L16" i="4"/>
  <c r="M16" i="4"/>
  <c r="N16" i="4"/>
  <c r="L17" i="4"/>
  <c r="M17" i="4"/>
  <c r="N17" i="4"/>
  <c r="L23" i="4"/>
  <c r="M23" i="4"/>
  <c r="N23" i="4"/>
  <c r="L28" i="4"/>
  <c r="M28" i="4"/>
  <c r="N28" i="4"/>
  <c r="L35" i="4"/>
  <c r="N35" i="4"/>
  <c r="L39" i="4"/>
  <c r="M39" i="4"/>
  <c r="N39" i="4"/>
  <c r="N45" i="4"/>
  <c r="N51" i="4"/>
  <c r="M57" i="4"/>
  <c r="N57" i="4"/>
  <c r="L61" i="4"/>
  <c r="M61" i="4"/>
  <c r="N61" i="4"/>
  <c r="M65" i="4"/>
  <c r="N65" i="4"/>
  <c r="L69" i="4"/>
  <c r="M69" i="4"/>
  <c r="N69" i="4"/>
  <c r="M73" i="4"/>
  <c r="N73" i="4"/>
  <c r="L79" i="4"/>
  <c r="M79" i="4"/>
  <c r="N79" i="4"/>
  <c r="M85" i="4"/>
  <c r="N85" i="4"/>
  <c r="M89" i="4"/>
  <c r="N89" i="4"/>
  <c r="L94" i="4"/>
  <c r="M94" i="4"/>
  <c r="N94" i="4"/>
  <c r="L97" i="4"/>
  <c r="M97" i="4"/>
  <c r="N97" i="4"/>
  <c r="M103" i="4"/>
  <c r="N103" i="4"/>
  <c r="M107" i="4"/>
  <c r="N107" i="4"/>
  <c r="L113" i="4"/>
  <c r="M113" i="4"/>
  <c r="N113" i="4"/>
  <c r="L119" i="4"/>
  <c r="M119" i="4"/>
  <c r="N119" i="4"/>
  <c r="L124" i="4"/>
  <c r="M124" i="4"/>
  <c r="N124" i="4"/>
  <c r="L130" i="4"/>
  <c r="M130" i="4"/>
  <c r="N130" i="4"/>
  <c r="L136" i="4"/>
  <c r="M136" i="4"/>
  <c r="N136" i="4"/>
  <c r="L141" i="4"/>
  <c r="M141" i="4"/>
  <c r="N141" i="4"/>
  <c r="J116" i="6"/>
  <c r="O116" i="6" s="1"/>
  <c r="I116" i="6"/>
  <c r="N116" i="6" s="1"/>
  <c r="H117" i="6"/>
  <c r="H116" i="6" s="1"/>
  <c r="M116" i="6" s="1"/>
  <c r="J124" i="4"/>
  <c r="I124" i="4"/>
  <c r="H123" i="4"/>
  <c r="H122" i="4" s="1"/>
  <c r="N122" i="4" s="1"/>
  <c r="G123" i="4"/>
  <c r="M123" i="4" s="1"/>
  <c r="F123" i="4"/>
  <c r="L123" i="4" s="1"/>
  <c r="P32" i="6" l="1"/>
  <c r="P52" i="6"/>
  <c r="F122" i="4"/>
  <c r="F121" i="4" s="1"/>
  <c r="F120" i="4" s="1"/>
  <c r="L120" i="4" s="1"/>
  <c r="M117" i="6"/>
  <c r="J123" i="4"/>
  <c r="O117" i="6"/>
  <c r="N117" i="6"/>
  <c r="N123" i="4"/>
  <c r="G122" i="4"/>
  <c r="M122" i="4" s="1"/>
  <c r="I123" i="4"/>
  <c r="H121" i="4"/>
  <c r="N121" i="4" s="1"/>
  <c r="N15" i="4"/>
  <c r="M45" i="4"/>
  <c r="L122" i="4" l="1"/>
  <c r="L121" i="4"/>
  <c r="J122" i="4"/>
  <c r="I122" i="4"/>
  <c r="G121" i="4"/>
  <c r="M121" i="4" s="1"/>
  <c r="H120" i="4"/>
  <c r="F25" i="8"/>
  <c r="G27" i="8"/>
  <c r="D25" i="8"/>
  <c r="M43" i="3"/>
  <c r="L43" i="3"/>
  <c r="N46" i="3"/>
  <c r="N47" i="3"/>
  <c r="N45" i="3"/>
  <c r="N120" i="4" l="1"/>
  <c r="J121" i="4"/>
  <c r="G120" i="4"/>
  <c r="J120" i="4" s="1"/>
  <c r="I121" i="4"/>
  <c r="I16" i="4"/>
  <c r="I17" i="4"/>
  <c r="I23" i="4"/>
  <c r="I39" i="4"/>
  <c r="I69" i="4"/>
  <c r="I79" i="4"/>
  <c r="I94" i="4"/>
  <c r="I97" i="4"/>
  <c r="I113" i="4"/>
  <c r="I119" i="4"/>
  <c r="I130" i="4"/>
  <c r="I136" i="4"/>
  <c r="J16" i="4"/>
  <c r="J17" i="4"/>
  <c r="J23" i="4"/>
  <c r="J39" i="4"/>
  <c r="J69" i="4"/>
  <c r="J79" i="4"/>
  <c r="J94" i="4"/>
  <c r="J113" i="4"/>
  <c r="J119" i="4"/>
  <c r="J130" i="4"/>
  <c r="J136" i="4"/>
  <c r="L15" i="4"/>
  <c r="F14" i="4"/>
  <c r="L14" i="4" s="1"/>
  <c r="H14" i="4"/>
  <c r="N14" i="4" s="1"/>
  <c r="F118" i="4"/>
  <c r="J89" i="4"/>
  <c r="I89" i="4"/>
  <c r="J85" i="4"/>
  <c r="I85" i="4"/>
  <c r="J73" i="4"/>
  <c r="I73" i="4"/>
  <c r="J65" i="4"/>
  <c r="I65" i="4"/>
  <c r="J57" i="4"/>
  <c r="I57" i="4"/>
  <c r="J28" i="4"/>
  <c r="I28" i="4"/>
  <c r="K16" i="6"/>
  <c r="K17" i="6"/>
  <c r="K21" i="6"/>
  <c r="K22" i="6"/>
  <c r="K25" i="6"/>
  <c r="K26" i="6"/>
  <c r="K27" i="6"/>
  <c r="K28" i="6"/>
  <c r="K29" i="6"/>
  <c r="K31" i="6"/>
  <c r="K32" i="6"/>
  <c r="K33" i="6"/>
  <c r="K34" i="6"/>
  <c r="K35" i="6"/>
  <c r="K36" i="6"/>
  <c r="K41" i="6"/>
  <c r="K42" i="6"/>
  <c r="K48" i="6"/>
  <c r="K52" i="6"/>
  <c r="K53" i="6"/>
  <c r="K54" i="6"/>
  <c r="K55" i="6"/>
  <c r="K56" i="6"/>
  <c r="K57" i="6"/>
  <c r="K65" i="6"/>
  <c r="K70" i="6"/>
  <c r="K71" i="6"/>
  <c r="K72" i="6"/>
  <c r="K73" i="6"/>
  <c r="K80" i="6"/>
  <c r="K81" i="6"/>
  <c r="K87" i="6"/>
  <c r="K90" i="6"/>
  <c r="K95" i="6"/>
  <c r="K99" i="6"/>
  <c r="K107" i="6"/>
  <c r="K114" i="6"/>
  <c r="K126" i="6"/>
  <c r="K130" i="6"/>
  <c r="K137" i="6"/>
  <c r="I20" i="6"/>
  <c r="N20" i="6" s="1"/>
  <c r="J20" i="6"/>
  <c r="H20" i="6"/>
  <c r="I79" i="6"/>
  <c r="H106" i="6"/>
  <c r="M106" i="6" s="1"/>
  <c r="I94" i="6"/>
  <c r="N94" i="6" s="1"/>
  <c r="O94" i="6"/>
  <c r="H94" i="6"/>
  <c r="J79" i="6"/>
  <c r="O79" i="6" s="1"/>
  <c r="H79" i="6"/>
  <c r="I120" i="4" l="1"/>
  <c r="H105" i="6"/>
  <c r="I35" i="4"/>
  <c r="M35" i="4"/>
  <c r="F117" i="4"/>
  <c r="L118" i="4"/>
  <c r="J35" i="4"/>
  <c r="I51" i="4"/>
  <c r="M51" i="4"/>
  <c r="H93" i="6"/>
  <c r="M93" i="6" s="1"/>
  <c r="M94" i="6"/>
  <c r="H19" i="6"/>
  <c r="M20" i="6"/>
  <c r="H78" i="6"/>
  <c r="M78" i="6" s="1"/>
  <c r="M79" i="6"/>
  <c r="I78" i="6"/>
  <c r="N78" i="6" s="1"/>
  <c r="N79" i="6"/>
  <c r="J51" i="4"/>
  <c r="K20" i="6"/>
  <c r="O20" i="6"/>
  <c r="M120" i="4"/>
  <c r="I15" i="4"/>
  <c r="M15" i="4"/>
  <c r="K79" i="6"/>
  <c r="K111" i="6"/>
  <c r="K94" i="6"/>
  <c r="G14" i="4"/>
  <c r="M14" i="4" s="1"/>
  <c r="J15" i="4"/>
  <c r="H13" i="4"/>
  <c r="N13" i="4" s="1"/>
  <c r="F38" i="4"/>
  <c r="I103" i="4"/>
  <c r="L89" i="4"/>
  <c r="I107" i="4"/>
  <c r="L107" i="4"/>
  <c r="L103" i="4"/>
  <c r="L85" i="4"/>
  <c r="L65" i="4"/>
  <c r="I61" i="4"/>
  <c r="L57" i="4"/>
  <c r="L51" i="4"/>
  <c r="L45" i="4"/>
  <c r="I141" i="4"/>
  <c r="I69" i="6"/>
  <c r="N69" i="6" s="1"/>
  <c r="J69" i="6"/>
  <c r="J24" i="6"/>
  <c r="O24" i="6" s="1"/>
  <c r="N51" i="6"/>
  <c r="O51" i="6"/>
  <c r="J13" i="6"/>
  <c r="O13" i="6" s="1"/>
  <c r="I86" i="6"/>
  <c r="N86" i="6" s="1"/>
  <c r="L39" i="3"/>
  <c r="M39" i="3"/>
  <c r="K39" i="3"/>
  <c r="M22" i="9"/>
  <c r="M23" i="9" s="1"/>
  <c r="M24" i="9" s="1"/>
  <c r="M105" i="6" l="1"/>
  <c r="F116" i="4"/>
  <c r="L117" i="4"/>
  <c r="K15" i="6"/>
  <c r="N15" i="6"/>
  <c r="H18" i="6"/>
  <c r="M18" i="6" s="1"/>
  <c r="M19" i="6"/>
  <c r="F37" i="4"/>
  <c r="L37" i="4" s="1"/>
  <c r="L38" i="4"/>
  <c r="K14" i="6"/>
  <c r="N14" i="6"/>
  <c r="F36" i="4"/>
  <c r="L36" i="4" s="1"/>
  <c r="K69" i="6"/>
  <c r="O69" i="6"/>
  <c r="N23" i="6"/>
  <c r="N24" i="6"/>
  <c r="K51" i="6"/>
  <c r="J12" i="6"/>
  <c r="I45" i="4"/>
  <c r="G13" i="4"/>
  <c r="M13" i="4" s="1"/>
  <c r="I14" i="4"/>
  <c r="J61" i="4"/>
  <c r="J14" i="4"/>
  <c r="J23" i="6"/>
  <c r="K24" i="6"/>
  <c r="J103" i="4"/>
  <c r="J107" i="4"/>
  <c r="J45" i="4"/>
  <c r="H12" i="4"/>
  <c r="N12" i="4" s="1"/>
  <c r="I13" i="6"/>
  <c r="I12" i="6" l="1"/>
  <c r="I11" i="6" s="1"/>
  <c r="N13" i="6"/>
  <c r="F115" i="4"/>
  <c r="F114" i="4" s="1"/>
  <c r="L116" i="4"/>
  <c r="K23" i="6"/>
  <c r="O23" i="6"/>
  <c r="G12" i="4"/>
  <c r="M12" i="4" s="1"/>
  <c r="I13" i="4"/>
  <c r="K13" i="6"/>
  <c r="J13" i="4"/>
  <c r="J11" i="6"/>
  <c r="K12" i="6"/>
  <c r="H11" i="4"/>
  <c r="H112" i="4"/>
  <c r="N112" i="4" s="1"/>
  <c r="G112" i="4"/>
  <c r="F112" i="4"/>
  <c r="G96" i="4"/>
  <c r="M96" i="4" s="1"/>
  <c r="H96" i="4"/>
  <c r="F96" i="4"/>
  <c r="O50" i="6"/>
  <c r="I15" i="8"/>
  <c r="J15" i="8"/>
  <c r="I24" i="8"/>
  <c r="J24" i="8"/>
  <c r="I29" i="8"/>
  <c r="J29" i="8"/>
  <c r="I32" i="8"/>
  <c r="J32" i="8"/>
  <c r="H113" i="6"/>
  <c r="H104" i="6" s="1"/>
  <c r="J113" i="6"/>
  <c r="O113" i="6" s="1"/>
  <c r="I113" i="6"/>
  <c r="N113" i="6" l="1"/>
  <c r="I104" i="6"/>
  <c r="M113" i="6"/>
  <c r="F95" i="4"/>
  <c r="L95" i="4" s="1"/>
  <c r="L96" i="4"/>
  <c r="F111" i="4"/>
  <c r="L111" i="4" s="1"/>
  <c r="L112" i="4"/>
  <c r="H95" i="4"/>
  <c r="N95" i="4" s="1"/>
  <c r="N96" i="4"/>
  <c r="I112" i="4"/>
  <c r="M112" i="4"/>
  <c r="J12" i="4"/>
  <c r="L115" i="4"/>
  <c r="L114" i="4"/>
  <c r="I96" i="4"/>
  <c r="O49" i="6"/>
  <c r="H111" i="4"/>
  <c r="N111" i="4" s="1"/>
  <c r="J112" i="4"/>
  <c r="K113" i="6"/>
  <c r="G11" i="4"/>
  <c r="I11" i="4" s="1"/>
  <c r="I12" i="4"/>
  <c r="G95" i="4"/>
  <c r="H110" i="4" l="1"/>
  <c r="N110" i="4" s="1"/>
  <c r="M104" i="6"/>
  <c r="H103" i="6"/>
  <c r="M103" i="6" s="1"/>
  <c r="I95" i="4"/>
  <c r="M95" i="4"/>
  <c r="J11" i="4"/>
  <c r="N106" i="6"/>
  <c r="J106" i="6"/>
  <c r="P29" i="3"/>
  <c r="P30" i="3"/>
  <c r="P19" i="3"/>
  <c r="N29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06" i="6" l="1"/>
  <c r="O106" i="6"/>
  <c r="I25" i="8"/>
  <c r="I26" i="8"/>
  <c r="I22" i="8"/>
  <c r="I68" i="6" l="1"/>
  <c r="N68" i="6" s="1"/>
  <c r="I89" i="6"/>
  <c r="J89" i="6"/>
  <c r="H89" i="6"/>
  <c r="H38" i="4"/>
  <c r="N38" i="4" s="1"/>
  <c r="G38" i="4"/>
  <c r="M38" i="4" s="1"/>
  <c r="I88" i="6" l="1"/>
  <c r="N89" i="6"/>
  <c r="H88" i="6"/>
  <c r="M88" i="6" s="1"/>
  <c r="M89" i="6"/>
  <c r="K89" i="6"/>
  <c r="O89" i="6"/>
  <c r="I38" i="4"/>
  <c r="J38" i="4"/>
  <c r="G37" i="4"/>
  <c r="M37" i="4" s="1"/>
  <c r="J88" i="6"/>
  <c r="J85" i="6" s="1"/>
  <c r="H36" i="4"/>
  <c r="G36" i="4"/>
  <c r="M36" i="4" s="1"/>
  <c r="H37" i="4"/>
  <c r="I67" i="6"/>
  <c r="M21" i="3"/>
  <c r="N36" i="4" l="1"/>
  <c r="I85" i="6"/>
  <c r="N85" i="6" s="1"/>
  <c r="N88" i="6"/>
  <c r="K88" i="6"/>
  <c r="O88" i="6"/>
  <c r="I66" i="6"/>
  <c r="N66" i="6" s="1"/>
  <c r="N67" i="6"/>
  <c r="J37" i="4"/>
  <c r="N37" i="4"/>
  <c r="I36" i="4"/>
  <c r="J36" i="4"/>
  <c r="I37" i="4"/>
  <c r="J21" i="8"/>
  <c r="J93" i="6"/>
  <c r="O93" i="6" s="1"/>
  <c r="J78" i="6"/>
  <c r="G106" i="4"/>
  <c r="M106" i="4" s="1"/>
  <c r="H84" i="4"/>
  <c r="N84" i="4" s="1"/>
  <c r="H64" i="4"/>
  <c r="N64" i="4" s="1"/>
  <c r="G56" i="4"/>
  <c r="M56" i="4" s="1"/>
  <c r="H140" i="4"/>
  <c r="N140" i="4" s="1"/>
  <c r="G140" i="4"/>
  <c r="M140" i="4" s="1"/>
  <c r="F140" i="4"/>
  <c r="H135" i="4"/>
  <c r="N135" i="4" s="1"/>
  <c r="F135" i="4"/>
  <c r="H129" i="4"/>
  <c r="N129" i="4" s="1"/>
  <c r="G129" i="4"/>
  <c r="F129" i="4"/>
  <c r="L129" i="4" s="1"/>
  <c r="H118" i="4"/>
  <c r="N118" i="4" s="1"/>
  <c r="G118" i="4"/>
  <c r="H106" i="4"/>
  <c r="F106" i="4"/>
  <c r="L106" i="4" s="1"/>
  <c r="F102" i="4"/>
  <c r="H93" i="4"/>
  <c r="N93" i="4" s="1"/>
  <c r="G93" i="4"/>
  <c r="M93" i="4" s="1"/>
  <c r="F93" i="4"/>
  <c r="L93" i="4" s="1"/>
  <c r="F88" i="4"/>
  <c r="L88" i="4" s="1"/>
  <c r="G88" i="4"/>
  <c r="M88" i="4" s="1"/>
  <c r="F84" i="4"/>
  <c r="L84" i="4" s="1"/>
  <c r="H78" i="4"/>
  <c r="N78" i="4" s="1"/>
  <c r="G78" i="4"/>
  <c r="F78" i="4"/>
  <c r="L78" i="4" s="1"/>
  <c r="L73" i="4"/>
  <c r="H72" i="4"/>
  <c r="N72" i="4" s="1"/>
  <c r="H68" i="4"/>
  <c r="G68" i="4"/>
  <c r="M68" i="4" s="1"/>
  <c r="F68" i="4"/>
  <c r="L68" i="4" s="1"/>
  <c r="G64" i="4"/>
  <c r="M64" i="4" s="1"/>
  <c r="F60" i="4"/>
  <c r="L60" i="4" s="1"/>
  <c r="F56" i="4"/>
  <c r="L56" i="4" s="1"/>
  <c r="G50" i="4"/>
  <c r="M50" i="4" s="1"/>
  <c r="F44" i="4"/>
  <c r="L44" i="4" s="1"/>
  <c r="F34" i="4"/>
  <c r="L34" i="4" s="1"/>
  <c r="H27" i="4"/>
  <c r="N27" i="4" s="1"/>
  <c r="H22" i="4"/>
  <c r="N22" i="4" s="1"/>
  <c r="G22" i="4"/>
  <c r="F22" i="4"/>
  <c r="L22" i="4" s="1"/>
  <c r="I118" i="4" l="1"/>
  <c r="M118" i="4"/>
  <c r="F134" i="4"/>
  <c r="L134" i="4" s="1"/>
  <c r="L135" i="4"/>
  <c r="I78" i="4"/>
  <c r="M78" i="4"/>
  <c r="F101" i="4"/>
  <c r="L102" i="4"/>
  <c r="I129" i="4"/>
  <c r="M129" i="4"/>
  <c r="F139" i="4"/>
  <c r="L140" i="4"/>
  <c r="K86" i="6"/>
  <c r="O86" i="6"/>
  <c r="K78" i="6"/>
  <c r="O78" i="6"/>
  <c r="J68" i="4"/>
  <c r="N68" i="4"/>
  <c r="J106" i="4"/>
  <c r="N106" i="4"/>
  <c r="I22" i="4"/>
  <c r="M22" i="4"/>
  <c r="I93" i="4"/>
  <c r="J78" i="4"/>
  <c r="I64" i="4"/>
  <c r="J64" i="4"/>
  <c r="J129" i="4"/>
  <c r="J118" i="4"/>
  <c r="I106" i="4"/>
  <c r="J22" i="4"/>
  <c r="I68" i="4"/>
  <c r="J93" i="4"/>
  <c r="F55" i="4"/>
  <c r="L55" i="4" s="1"/>
  <c r="F33" i="4"/>
  <c r="L33" i="4" s="1"/>
  <c r="J77" i="6"/>
  <c r="G55" i="4"/>
  <c r="M55" i="4" s="1"/>
  <c r="I20" i="8"/>
  <c r="I19" i="8"/>
  <c r="H71" i="4"/>
  <c r="N71" i="4" s="1"/>
  <c r="G105" i="4"/>
  <c r="M105" i="4" s="1"/>
  <c r="H77" i="4"/>
  <c r="H128" i="4"/>
  <c r="N128" i="4" s="1"/>
  <c r="H21" i="4"/>
  <c r="N21" i="4" s="1"/>
  <c r="H26" i="4"/>
  <c r="N26" i="4" s="1"/>
  <c r="H117" i="4"/>
  <c r="N117" i="4" s="1"/>
  <c r="G139" i="4"/>
  <c r="M139" i="4" s="1"/>
  <c r="I140" i="4"/>
  <c r="G34" i="4"/>
  <c r="M34" i="4" s="1"/>
  <c r="H63" i="4"/>
  <c r="N63" i="4" s="1"/>
  <c r="F72" i="4"/>
  <c r="L72" i="4" s="1"/>
  <c r="F92" i="4"/>
  <c r="L92" i="4" s="1"/>
  <c r="G72" i="4"/>
  <c r="H44" i="4"/>
  <c r="N44" i="4" s="1"/>
  <c r="G67" i="4"/>
  <c r="M67" i="4" s="1"/>
  <c r="F77" i="4"/>
  <c r="L77" i="4" s="1"/>
  <c r="G77" i="4"/>
  <c r="M77" i="4" s="1"/>
  <c r="F128" i="4"/>
  <c r="L128" i="4" s="1"/>
  <c r="H67" i="4"/>
  <c r="N67" i="4" s="1"/>
  <c r="G135" i="4"/>
  <c r="F27" i="4"/>
  <c r="L27" i="4" s="1"/>
  <c r="F59" i="4"/>
  <c r="F50" i="4"/>
  <c r="L50" i="4" s="1"/>
  <c r="F87" i="4"/>
  <c r="L87" i="4" s="1"/>
  <c r="G92" i="4"/>
  <c r="M92" i="4" s="1"/>
  <c r="F21" i="4"/>
  <c r="L21" i="4" s="1"/>
  <c r="F67" i="4"/>
  <c r="G87" i="4"/>
  <c r="M87" i="4" s="1"/>
  <c r="F105" i="4"/>
  <c r="L105" i="4" s="1"/>
  <c r="G111" i="4"/>
  <c r="M111" i="4" s="1"/>
  <c r="F133" i="4"/>
  <c r="L133" i="4" s="1"/>
  <c r="F83" i="4"/>
  <c r="L83" i="4" s="1"/>
  <c r="H105" i="4"/>
  <c r="G27" i="4"/>
  <c r="F64" i="4"/>
  <c r="L64" i="4" s="1"/>
  <c r="H34" i="4"/>
  <c r="N34" i="4" s="1"/>
  <c r="G44" i="4"/>
  <c r="M44" i="4" s="1"/>
  <c r="H50" i="4"/>
  <c r="H92" i="4"/>
  <c r="N92" i="4" s="1"/>
  <c r="H88" i="4"/>
  <c r="H102" i="4"/>
  <c r="N102" i="4" s="1"/>
  <c r="G117" i="4"/>
  <c r="M117" i="4" s="1"/>
  <c r="G128" i="4"/>
  <c r="G63" i="4"/>
  <c r="M63" i="4" s="1"/>
  <c r="G21" i="4"/>
  <c r="F43" i="4"/>
  <c r="L43" i="4" s="1"/>
  <c r="G49" i="4"/>
  <c r="M49" i="4" s="1"/>
  <c r="H56" i="4"/>
  <c r="G60" i="4"/>
  <c r="M60" i="4" s="1"/>
  <c r="G102" i="4"/>
  <c r="H134" i="4"/>
  <c r="N134" i="4" s="1"/>
  <c r="H60" i="4"/>
  <c r="N60" i="4" s="1"/>
  <c r="H83" i="4"/>
  <c r="N83" i="4" s="1"/>
  <c r="G84" i="4"/>
  <c r="H139" i="4"/>
  <c r="N139" i="4" s="1"/>
  <c r="L35" i="3"/>
  <c r="L34" i="3" s="1"/>
  <c r="P49" i="3"/>
  <c r="D30" i="8"/>
  <c r="F30" i="8"/>
  <c r="J30" i="8" s="1"/>
  <c r="I141" i="6"/>
  <c r="H141" i="6"/>
  <c r="F66" i="4" l="1"/>
  <c r="L66" i="4" s="1"/>
  <c r="L67" i="4"/>
  <c r="F138" i="4"/>
  <c r="L139" i="4"/>
  <c r="I128" i="4"/>
  <c r="M128" i="4"/>
  <c r="H140" i="6"/>
  <c r="M141" i="6"/>
  <c r="F58" i="4"/>
  <c r="L58" i="4" s="1"/>
  <c r="L59" i="4"/>
  <c r="H76" i="4"/>
  <c r="N76" i="4" s="1"/>
  <c r="N77" i="4"/>
  <c r="I135" i="4"/>
  <c r="M135" i="4"/>
  <c r="F100" i="4"/>
  <c r="L100" i="4" s="1"/>
  <c r="L101" i="4"/>
  <c r="K85" i="6"/>
  <c r="O85" i="6"/>
  <c r="I140" i="6"/>
  <c r="N140" i="6" s="1"/>
  <c r="N141" i="6"/>
  <c r="I72" i="4"/>
  <c r="M72" i="4"/>
  <c r="J56" i="4"/>
  <c r="N56" i="4"/>
  <c r="I84" i="4"/>
  <c r="M84" i="4"/>
  <c r="J88" i="4"/>
  <c r="N88" i="4"/>
  <c r="I102" i="4"/>
  <c r="M102" i="4"/>
  <c r="J105" i="4"/>
  <c r="N105" i="4"/>
  <c r="I27" i="4"/>
  <c r="M27" i="4"/>
  <c r="I21" i="4"/>
  <c r="M21" i="4"/>
  <c r="J50" i="4"/>
  <c r="N50" i="4"/>
  <c r="J67" i="4"/>
  <c r="I77" i="4"/>
  <c r="J44" i="4"/>
  <c r="I117" i="4"/>
  <c r="I63" i="4"/>
  <c r="J60" i="4"/>
  <c r="J92" i="4"/>
  <c r="J34" i="4"/>
  <c r="I92" i="4"/>
  <c r="G66" i="4"/>
  <c r="M66" i="4" s="1"/>
  <c r="I67" i="4"/>
  <c r="I34" i="4"/>
  <c r="J128" i="4"/>
  <c r="I50" i="4"/>
  <c r="J102" i="4"/>
  <c r="J77" i="4"/>
  <c r="I88" i="4"/>
  <c r="I60" i="4"/>
  <c r="I111" i="4"/>
  <c r="J111" i="4"/>
  <c r="J63" i="4"/>
  <c r="J27" i="4"/>
  <c r="J84" i="4"/>
  <c r="I44" i="4"/>
  <c r="J117" i="4"/>
  <c r="H20" i="4"/>
  <c r="N20" i="4" s="1"/>
  <c r="J21" i="4"/>
  <c r="I105" i="4"/>
  <c r="J135" i="4"/>
  <c r="I56" i="4"/>
  <c r="J72" i="4"/>
  <c r="F54" i="4"/>
  <c r="F32" i="4"/>
  <c r="L32" i="4" s="1"/>
  <c r="O77" i="6"/>
  <c r="F91" i="4"/>
  <c r="F49" i="4"/>
  <c r="L49" i="4" s="1"/>
  <c r="H25" i="4"/>
  <c r="N25" i="4" s="1"/>
  <c r="G54" i="4"/>
  <c r="M54" i="4" s="1"/>
  <c r="G33" i="4"/>
  <c r="M33" i="4" s="1"/>
  <c r="G104" i="4"/>
  <c r="M104" i="4" s="1"/>
  <c r="G43" i="4"/>
  <c r="M43" i="4" s="1"/>
  <c r="H116" i="4"/>
  <c r="N116" i="4" s="1"/>
  <c r="H101" i="4"/>
  <c r="N101" i="4" s="1"/>
  <c r="H33" i="4"/>
  <c r="N33" i="4" s="1"/>
  <c r="G138" i="4"/>
  <c r="M138" i="4" s="1"/>
  <c r="I139" i="4"/>
  <c r="H127" i="4"/>
  <c r="N127" i="4" s="1"/>
  <c r="H70" i="4"/>
  <c r="N70" i="4" s="1"/>
  <c r="H62" i="4"/>
  <c r="F71" i="4"/>
  <c r="L71" i="4" s="1"/>
  <c r="H66" i="4"/>
  <c r="N66" i="4" s="1"/>
  <c r="F127" i="4"/>
  <c r="L127" i="4" s="1"/>
  <c r="G76" i="4"/>
  <c r="F76" i="4"/>
  <c r="L76" i="4" s="1"/>
  <c r="H43" i="4"/>
  <c r="N43" i="4" s="1"/>
  <c r="G71" i="4"/>
  <c r="H87" i="4"/>
  <c r="G134" i="4"/>
  <c r="G83" i="4"/>
  <c r="F26" i="4"/>
  <c r="L26" i="4" s="1"/>
  <c r="G91" i="4"/>
  <c r="M91" i="4" s="1"/>
  <c r="F110" i="4"/>
  <c r="G86" i="4"/>
  <c r="F86" i="4"/>
  <c r="F20" i="4"/>
  <c r="L20" i="4" s="1"/>
  <c r="F104" i="4"/>
  <c r="L104" i="4" s="1"/>
  <c r="G110" i="4"/>
  <c r="M110" i="4" s="1"/>
  <c r="F132" i="4"/>
  <c r="L132" i="4" s="1"/>
  <c r="G127" i="4"/>
  <c r="H91" i="4"/>
  <c r="H49" i="4"/>
  <c r="F63" i="4"/>
  <c r="L63" i="4" s="1"/>
  <c r="G26" i="4"/>
  <c r="H104" i="4"/>
  <c r="N104" i="4" s="1"/>
  <c r="G116" i="4"/>
  <c r="M116" i="4" s="1"/>
  <c r="F82" i="4"/>
  <c r="G62" i="4"/>
  <c r="G20" i="4"/>
  <c r="M20" i="4" s="1"/>
  <c r="H82" i="4"/>
  <c r="N82" i="4" s="1"/>
  <c r="H133" i="4"/>
  <c r="N133" i="4" s="1"/>
  <c r="G101" i="4"/>
  <c r="M101" i="4" s="1"/>
  <c r="G59" i="4"/>
  <c r="M59" i="4" s="1"/>
  <c r="H55" i="4"/>
  <c r="F13" i="4"/>
  <c r="L13" i="4" s="1"/>
  <c r="H138" i="4"/>
  <c r="N138" i="4" s="1"/>
  <c r="H59" i="4"/>
  <c r="N59" i="4" s="1"/>
  <c r="G48" i="4"/>
  <c r="F42" i="4"/>
  <c r="I139" i="6"/>
  <c r="J141" i="6"/>
  <c r="O141" i="6" s="1"/>
  <c r="M86" i="4" l="1"/>
  <c r="L86" i="4"/>
  <c r="F81" i="4"/>
  <c r="L81" i="4" s="1"/>
  <c r="N62" i="4"/>
  <c r="M62" i="4"/>
  <c r="M48" i="4"/>
  <c r="G47" i="4"/>
  <c r="M47" i="4" s="1"/>
  <c r="L42" i="4"/>
  <c r="F41" i="4"/>
  <c r="F48" i="4"/>
  <c r="H139" i="6"/>
  <c r="M140" i="6"/>
  <c r="L54" i="4"/>
  <c r="L82" i="4"/>
  <c r="F137" i="4"/>
  <c r="L137" i="4" s="1"/>
  <c r="L138" i="4"/>
  <c r="F109" i="4"/>
  <c r="L110" i="4"/>
  <c r="I134" i="4"/>
  <c r="M134" i="4"/>
  <c r="F90" i="4"/>
  <c r="L90" i="4" s="1"/>
  <c r="L91" i="4"/>
  <c r="I76" i="4"/>
  <c r="M76" i="4"/>
  <c r="I127" i="4"/>
  <c r="M127" i="4"/>
  <c r="H75" i="4"/>
  <c r="N75" i="4" s="1"/>
  <c r="I138" i="6"/>
  <c r="N138" i="6" s="1"/>
  <c r="N139" i="6"/>
  <c r="I71" i="4"/>
  <c r="M71" i="4"/>
  <c r="J55" i="4"/>
  <c r="N55" i="4"/>
  <c r="I83" i="4"/>
  <c r="M83" i="4"/>
  <c r="J87" i="4"/>
  <c r="N87" i="4"/>
  <c r="J91" i="4"/>
  <c r="N91" i="4"/>
  <c r="J104" i="4"/>
  <c r="I26" i="4"/>
  <c r="M26" i="4"/>
  <c r="J49" i="4"/>
  <c r="N49" i="4"/>
  <c r="I62" i="4"/>
  <c r="I20" i="4"/>
  <c r="J43" i="4"/>
  <c r="I101" i="4"/>
  <c r="I116" i="4"/>
  <c r="H19" i="4"/>
  <c r="N19" i="4" s="1"/>
  <c r="J66" i="4"/>
  <c r="J59" i="4"/>
  <c r="J127" i="4"/>
  <c r="J33" i="4"/>
  <c r="J20" i="4"/>
  <c r="J134" i="4"/>
  <c r="J71" i="4"/>
  <c r="I66" i="4"/>
  <c r="J101" i="4"/>
  <c r="I43" i="4"/>
  <c r="I87" i="4"/>
  <c r="I55" i="4"/>
  <c r="J62" i="4"/>
  <c r="I138" i="4"/>
  <c r="J116" i="4"/>
  <c r="I104" i="4"/>
  <c r="I59" i="4"/>
  <c r="I110" i="4"/>
  <c r="J110" i="4"/>
  <c r="I91" i="4"/>
  <c r="I33" i="4"/>
  <c r="I49" i="4"/>
  <c r="J26" i="4"/>
  <c r="J76" i="4"/>
  <c r="J83" i="4"/>
  <c r="F31" i="4"/>
  <c r="L31" i="4" s="1"/>
  <c r="F126" i="4"/>
  <c r="L126" i="4" s="1"/>
  <c r="G19" i="4"/>
  <c r="M19" i="4" s="1"/>
  <c r="H126" i="4"/>
  <c r="N126" i="4" s="1"/>
  <c r="G32" i="4"/>
  <c r="M32" i="4" s="1"/>
  <c r="H100" i="4"/>
  <c r="N100" i="4" s="1"/>
  <c r="H115" i="4"/>
  <c r="H114" i="4" s="1"/>
  <c r="G42" i="4"/>
  <c r="H32" i="4"/>
  <c r="N32" i="4" s="1"/>
  <c r="H24" i="4"/>
  <c r="N24" i="4" s="1"/>
  <c r="J140" i="6"/>
  <c r="O140" i="6" s="1"/>
  <c r="G137" i="4"/>
  <c r="M137" i="4" s="1"/>
  <c r="F25" i="4"/>
  <c r="F70" i="4"/>
  <c r="L70" i="4" s="1"/>
  <c r="H86" i="4"/>
  <c r="H81" i="4" s="1"/>
  <c r="G90" i="4"/>
  <c r="M90" i="4" s="1"/>
  <c r="G75" i="4"/>
  <c r="G70" i="4"/>
  <c r="H42" i="4"/>
  <c r="F75" i="4"/>
  <c r="L75" i="4" s="1"/>
  <c r="G133" i="4"/>
  <c r="F19" i="4"/>
  <c r="L19" i="4" s="1"/>
  <c r="F99" i="4"/>
  <c r="G109" i="4"/>
  <c r="M109" i="4" s="1"/>
  <c r="H90" i="4"/>
  <c r="N90" i="4" s="1"/>
  <c r="H48" i="4"/>
  <c r="H47" i="4" s="1"/>
  <c r="G25" i="4"/>
  <c r="G126" i="4"/>
  <c r="G115" i="4"/>
  <c r="G114" i="4" s="1"/>
  <c r="F62" i="4"/>
  <c r="F131" i="4"/>
  <c r="L131" i="4" s="1"/>
  <c r="H58" i="4"/>
  <c r="F12" i="4"/>
  <c r="L12" i="4" s="1"/>
  <c r="H54" i="4"/>
  <c r="N54" i="4" s="1"/>
  <c r="G58" i="4"/>
  <c r="G53" i="4" s="1"/>
  <c r="G100" i="4"/>
  <c r="M100" i="4" s="1"/>
  <c r="G82" i="4"/>
  <c r="G81" i="4" s="1"/>
  <c r="H132" i="4"/>
  <c r="N132" i="4" s="1"/>
  <c r="H137" i="4"/>
  <c r="N137" i="4" s="1"/>
  <c r="H53" i="4" l="1"/>
  <c r="L62" i="4"/>
  <c r="F53" i="4"/>
  <c r="L48" i="4"/>
  <c r="F47" i="4"/>
  <c r="L47" i="4" s="1"/>
  <c r="N42" i="4"/>
  <c r="H41" i="4"/>
  <c r="N41" i="4" s="1"/>
  <c r="M42" i="4"/>
  <c r="G41" i="4"/>
  <c r="H74" i="4"/>
  <c r="N74" i="4" s="1"/>
  <c r="F80" i="4"/>
  <c r="M115" i="4"/>
  <c r="M114" i="4"/>
  <c r="I133" i="4"/>
  <c r="M133" i="4"/>
  <c r="F40" i="4"/>
  <c r="L40" i="4" s="1"/>
  <c r="L41" i="4"/>
  <c r="F108" i="4"/>
  <c r="L108" i="4" s="1"/>
  <c r="L109" i="4"/>
  <c r="I75" i="4"/>
  <c r="M75" i="4"/>
  <c r="I126" i="4"/>
  <c r="M126" i="4"/>
  <c r="F24" i="4"/>
  <c r="L24" i="4" s="1"/>
  <c r="L25" i="4"/>
  <c r="F98" i="4"/>
  <c r="L98" i="4" s="1"/>
  <c r="L99" i="4"/>
  <c r="H138" i="6"/>
  <c r="M138" i="6" s="1"/>
  <c r="M139" i="6"/>
  <c r="I70" i="4"/>
  <c r="M70" i="4"/>
  <c r="N58" i="4"/>
  <c r="N53" i="4"/>
  <c r="M53" i="4"/>
  <c r="M58" i="4"/>
  <c r="J82" i="4"/>
  <c r="M82" i="4"/>
  <c r="J86" i="4"/>
  <c r="N86" i="4"/>
  <c r="N115" i="4"/>
  <c r="N114" i="4"/>
  <c r="I25" i="4"/>
  <c r="M25" i="4"/>
  <c r="I48" i="4"/>
  <c r="N48" i="4"/>
  <c r="J19" i="4"/>
  <c r="J90" i="4"/>
  <c r="I100" i="4"/>
  <c r="I32" i="4"/>
  <c r="J25" i="4"/>
  <c r="J100" i="4"/>
  <c r="J70" i="4"/>
  <c r="J75" i="4"/>
  <c r="J58" i="4"/>
  <c r="J42" i="4"/>
  <c r="I90" i="4"/>
  <c r="H18" i="4"/>
  <c r="N18" i="4" s="1"/>
  <c r="M41" i="4"/>
  <c r="I42" i="4"/>
  <c r="J126" i="4"/>
  <c r="J133" i="4"/>
  <c r="I82" i="4"/>
  <c r="M81" i="4"/>
  <c r="I58" i="4"/>
  <c r="J54" i="4"/>
  <c r="I115" i="4"/>
  <c r="J48" i="4"/>
  <c r="I137" i="4"/>
  <c r="J32" i="4"/>
  <c r="J115" i="4"/>
  <c r="I19" i="4"/>
  <c r="I86" i="4"/>
  <c r="I54" i="4"/>
  <c r="F30" i="4"/>
  <c r="L30" i="4" s="1"/>
  <c r="F46" i="4"/>
  <c r="L46" i="4" s="1"/>
  <c r="F125" i="4"/>
  <c r="L125" i="4" s="1"/>
  <c r="H99" i="4"/>
  <c r="N99" i="4" s="1"/>
  <c r="G99" i="4"/>
  <c r="M99" i="4" s="1"/>
  <c r="H31" i="4"/>
  <c r="N31" i="4" s="1"/>
  <c r="G31" i="4"/>
  <c r="M31" i="4" s="1"/>
  <c r="G46" i="4"/>
  <c r="M46" i="4" s="1"/>
  <c r="H125" i="4"/>
  <c r="N125" i="4" s="1"/>
  <c r="G108" i="4"/>
  <c r="M108" i="4" s="1"/>
  <c r="F74" i="4"/>
  <c r="L74" i="4" s="1"/>
  <c r="G74" i="4"/>
  <c r="G132" i="4"/>
  <c r="G125" i="4"/>
  <c r="G24" i="4"/>
  <c r="H131" i="4"/>
  <c r="N131" i="4" s="1"/>
  <c r="H109" i="4"/>
  <c r="F11" i="4"/>
  <c r="J139" i="6"/>
  <c r="O139" i="6" s="1"/>
  <c r="L80" i="4" l="1"/>
  <c r="G80" i="4"/>
  <c r="F18" i="4"/>
  <c r="L18" i="4" s="1"/>
  <c r="I125" i="4"/>
  <c r="M125" i="4"/>
  <c r="J109" i="4"/>
  <c r="N109" i="4"/>
  <c r="I132" i="4"/>
  <c r="M132" i="4"/>
  <c r="I74" i="4"/>
  <c r="M74" i="4"/>
  <c r="J53" i="4"/>
  <c r="F52" i="4"/>
  <c r="L52" i="4" s="1"/>
  <c r="L53" i="4"/>
  <c r="J81" i="4"/>
  <c r="N81" i="4"/>
  <c r="I24" i="4"/>
  <c r="M24" i="4"/>
  <c r="J47" i="4"/>
  <c r="N47" i="4"/>
  <c r="I41" i="4"/>
  <c r="I114" i="4"/>
  <c r="I99" i="4"/>
  <c r="J125" i="4"/>
  <c r="I31" i="4"/>
  <c r="G18" i="4"/>
  <c r="I81" i="4"/>
  <c r="I47" i="4"/>
  <c r="J31" i="4"/>
  <c r="J132" i="4"/>
  <c r="J24" i="4"/>
  <c r="J41" i="4"/>
  <c r="H80" i="4"/>
  <c r="J99" i="4"/>
  <c r="J114" i="4"/>
  <c r="I109" i="4"/>
  <c r="J74" i="4"/>
  <c r="I53" i="4"/>
  <c r="F29" i="4"/>
  <c r="L29" i="4" s="1"/>
  <c r="N11" i="4"/>
  <c r="H10" i="4"/>
  <c r="G40" i="4"/>
  <c r="M40" i="4" s="1"/>
  <c r="H30" i="4"/>
  <c r="N30" i="4" s="1"/>
  <c r="H46" i="4"/>
  <c r="H108" i="4"/>
  <c r="G30" i="4"/>
  <c r="M30" i="4" s="1"/>
  <c r="G98" i="4"/>
  <c r="M98" i="4" s="1"/>
  <c r="H98" i="4"/>
  <c r="H40" i="4"/>
  <c r="G131" i="4"/>
  <c r="L11" i="4"/>
  <c r="G52" i="4"/>
  <c r="M52" i="4" s="1"/>
  <c r="H52" i="4"/>
  <c r="N52" i="4" s="1"/>
  <c r="J138" i="6"/>
  <c r="O138" i="6" s="1"/>
  <c r="M80" i="4" l="1"/>
  <c r="F142" i="4"/>
  <c r="F10" i="4"/>
  <c r="L10" i="4" s="1"/>
  <c r="J108" i="4"/>
  <c r="N108" i="4"/>
  <c r="I131" i="4"/>
  <c r="M131" i="4"/>
  <c r="J40" i="4"/>
  <c r="N40" i="4"/>
  <c r="J80" i="4"/>
  <c r="N80" i="4"/>
  <c r="J98" i="4"/>
  <c r="N98" i="4"/>
  <c r="I30" i="4"/>
  <c r="I18" i="4"/>
  <c r="M18" i="4"/>
  <c r="J46" i="4"/>
  <c r="N46" i="4"/>
  <c r="J18" i="4"/>
  <c r="J52" i="4"/>
  <c r="I40" i="4"/>
  <c r="I108" i="4"/>
  <c r="I52" i="4"/>
  <c r="I98" i="4"/>
  <c r="J30" i="4"/>
  <c r="I46" i="4"/>
  <c r="J131" i="4"/>
  <c r="I80" i="4"/>
  <c r="N10" i="4"/>
  <c r="H29" i="4"/>
  <c r="N29" i="4" s="1"/>
  <c r="G29" i="4"/>
  <c r="M29" i="4" s="1"/>
  <c r="G10" i="4"/>
  <c r="I10" i="4" s="1"/>
  <c r="M11" i="4"/>
  <c r="I12" i="8"/>
  <c r="H142" i="4" l="1"/>
  <c r="G142" i="4"/>
  <c r="F146" i="4"/>
  <c r="J10" i="4"/>
  <c r="I29" i="4"/>
  <c r="I142" i="4" s="1"/>
  <c r="H146" i="4"/>
  <c r="H148" i="4" s="1"/>
  <c r="J29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3" i="8" s="1"/>
  <c r="G12" i="8"/>
  <c r="D11" i="8"/>
  <c r="I136" i="6"/>
  <c r="N136" i="6" s="1"/>
  <c r="H136" i="6"/>
  <c r="M136" i="6" s="1"/>
  <c r="J129" i="6"/>
  <c r="O129" i="6" s="1"/>
  <c r="I129" i="6"/>
  <c r="N129" i="6" s="1"/>
  <c r="H129" i="6"/>
  <c r="M129" i="6" s="1"/>
  <c r="J125" i="6"/>
  <c r="O125" i="6" s="1"/>
  <c r="I125" i="6"/>
  <c r="N125" i="6" s="1"/>
  <c r="H125" i="6"/>
  <c r="J105" i="6"/>
  <c r="J101" i="6"/>
  <c r="I101" i="6"/>
  <c r="H101" i="6"/>
  <c r="M101" i="6" s="1"/>
  <c r="J92" i="6"/>
  <c r="O92" i="6" s="1"/>
  <c r="H86" i="6"/>
  <c r="M86" i="6" s="1"/>
  <c r="J68" i="6"/>
  <c r="H69" i="6"/>
  <c r="J64" i="6"/>
  <c r="O64" i="6" s="1"/>
  <c r="I64" i="6"/>
  <c r="N64" i="6" s="1"/>
  <c r="H64" i="6"/>
  <c r="M64" i="6" s="1"/>
  <c r="M60" i="6"/>
  <c r="J47" i="6"/>
  <c r="O47" i="6" s="1"/>
  <c r="I47" i="6"/>
  <c r="N47" i="6" s="1"/>
  <c r="H47" i="6"/>
  <c r="M47" i="6" s="1"/>
  <c r="I19" i="6"/>
  <c r="N19" i="6" s="1"/>
  <c r="M15" i="6"/>
  <c r="M14" i="6"/>
  <c r="N49" i="3"/>
  <c r="P44" i="3"/>
  <c r="P43" i="3"/>
  <c r="P42" i="3"/>
  <c r="N42" i="3"/>
  <c r="P41" i="3"/>
  <c r="N41" i="3"/>
  <c r="P40" i="3"/>
  <c r="P39" i="3"/>
  <c r="N38" i="3"/>
  <c r="P37" i="3"/>
  <c r="N37" i="3"/>
  <c r="P36" i="3"/>
  <c r="M35" i="3"/>
  <c r="M34" i="3" s="1"/>
  <c r="K35" i="3"/>
  <c r="K34" i="3" s="1"/>
  <c r="P32" i="3"/>
  <c r="P31" i="3"/>
  <c r="P27" i="3"/>
  <c r="N27" i="3"/>
  <c r="P26" i="3"/>
  <c r="N26" i="3"/>
  <c r="P25" i="3"/>
  <c r="N25" i="3"/>
  <c r="P24" i="3"/>
  <c r="N24" i="3"/>
  <c r="P23" i="3"/>
  <c r="N23" i="3"/>
  <c r="P22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P12" i="3"/>
  <c r="N12" i="3"/>
  <c r="M18" i="9"/>
  <c r="M19" i="9" s="1"/>
  <c r="M20" i="9" s="1"/>
  <c r="M16" i="9"/>
  <c r="M34" i="9" s="1"/>
  <c r="O105" i="6" l="1"/>
  <c r="J104" i="6"/>
  <c r="M50" i="3"/>
  <c r="H68" i="6"/>
  <c r="M68" i="6" s="1"/>
  <c r="M69" i="6"/>
  <c r="H124" i="6"/>
  <c r="M124" i="6" s="1"/>
  <c r="M125" i="6"/>
  <c r="J100" i="6"/>
  <c r="O100" i="6" s="1"/>
  <c r="O101" i="6"/>
  <c r="N43" i="3"/>
  <c r="I100" i="6"/>
  <c r="N100" i="6" s="1"/>
  <c r="N101" i="6"/>
  <c r="K68" i="6"/>
  <c r="O68" i="6"/>
  <c r="I33" i="8"/>
  <c r="K125" i="6"/>
  <c r="K50" i="3"/>
  <c r="H13" i="6"/>
  <c r="M13" i="6" s="1"/>
  <c r="K64" i="6"/>
  <c r="J91" i="6"/>
  <c r="O91" i="6" s="1"/>
  <c r="K47" i="6"/>
  <c r="K129" i="6"/>
  <c r="H51" i="6"/>
  <c r="H85" i="6"/>
  <c r="M85" i="6" s="1"/>
  <c r="J46" i="6"/>
  <c r="O46" i="6" s="1"/>
  <c r="P35" i="3"/>
  <c r="N35" i="3"/>
  <c r="F33" i="8"/>
  <c r="J33" i="8" s="1"/>
  <c r="J25" i="8"/>
  <c r="J124" i="6"/>
  <c r="O124" i="6" s="1"/>
  <c r="G28" i="8"/>
  <c r="J28" i="8"/>
  <c r="J128" i="6"/>
  <c r="O128" i="6" s="1"/>
  <c r="I135" i="6"/>
  <c r="N135" i="6" s="1"/>
  <c r="J67" i="6"/>
  <c r="O67" i="6" s="1"/>
  <c r="J63" i="6"/>
  <c r="O63" i="6" s="1"/>
  <c r="G146" i="4"/>
  <c r="G148" i="4" s="1"/>
  <c r="J142" i="4"/>
  <c r="G25" i="8"/>
  <c r="G13" i="8"/>
  <c r="G19" i="8"/>
  <c r="I128" i="6"/>
  <c r="G22" i="8"/>
  <c r="G17" i="8"/>
  <c r="H46" i="6"/>
  <c r="M46" i="6" s="1"/>
  <c r="H135" i="6"/>
  <c r="J136" i="6"/>
  <c r="H24" i="6"/>
  <c r="M24" i="6" s="1"/>
  <c r="H63" i="6"/>
  <c r="M63" i="6" s="1"/>
  <c r="I63" i="6"/>
  <c r="N63" i="6" s="1"/>
  <c r="H100" i="6"/>
  <c r="M100" i="6" s="1"/>
  <c r="I124" i="6"/>
  <c r="N124" i="6" s="1"/>
  <c r="I18" i="6"/>
  <c r="N18" i="6" s="1"/>
  <c r="H128" i="6"/>
  <c r="M128" i="6" s="1"/>
  <c r="N13" i="3"/>
  <c r="N39" i="3"/>
  <c r="P13" i="3"/>
  <c r="D33" i="8"/>
  <c r="G11" i="8"/>
  <c r="G14" i="8"/>
  <c r="G30" i="8"/>
  <c r="I46" i="6"/>
  <c r="N46" i="6" s="1"/>
  <c r="P21" i="3"/>
  <c r="M53" i="3"/>
  <c r="M54" i="3" s="1"/>
  <c r="N21" i="3"/>
  <c r="H67" i="6" l="1"/>
  <c r="M67" i="6" s="1"/>
  <c r="H123" i="6"/>
  <c r="M123" i="6" s="1"/>
  <c r="H50" i="6"/>
  <c r="M51" i="6"/>
  <c r="J127" i="6"/>
  <c r="H134" i="6"/>
  <c r="M134" i="6" s="1"/>
  <c r="M135" i="6"/>
  <c r="I127" i="6"/>
  <c r="N127" i="6" s="1"/>
  <c r="N128" i="6"/>
  <c r="K104" i="6"/>
  <c r="N105" i="6"/>
  <c r="J103" i="6"/>
  <c r="O103" i="6" s="1"/>
  <c r="O104" i="6"/>
  <c r="K136" i="6"/>
  <c r="O136" i="6"/>
  <c r="J66" i="6"/>
  <c r="K67" i="6"/>
  <c r="K105" i="6"/>
  <c r="K124" i="6"/>
  <c r="K128" i="6"/>
  <c r="K46" i="6"/>
  <c r="K63" i="6"/>
  <c r="I77" i="6"/>
  <c r="H77" i="6"/>
  <c r="M77" i="6" s="1"/>
  <c r="H45" i="6"/>
  <c r="L50" i="3"/>
  <c r="L53" i="3" s="1"/>
  <c r="L54" i="3" s="1"/>
  <c r="K53" i="3"/>
  <c r="F148" i="4" s="1"/>
  <c r="J19" i="6"/>
  <c r="J123" i="6"/>
  <c r="O123" i="6" s="1"/>
  <c r="J45" i="6"/>
  <c r="O45" i="6" s="1"/>
  <c r="I134" i="6"/>
  <c r="N134" i="6" s="1"/>
  <c r="N50" i="6"/>
  <c r="N11" i="3"/>
  <c r="H12" i="6"/>
  <c r="M12" i="6" s="1"/>
  <c r="H127" i="6"/>
  <c r="M127" i="6" s="1"/>
  <c r="I123" i="6"/>
  <c r="N123" i="6" s="1"/>
  <c r="H23" i="6"/>
  <c r="M23" i="6" s="1"/>
  <c r="H66" i="6"/>
  <c r="M66" i="6" s="1"/>
  <c r="I93" i="6"/>
  <c r="J135" i="6"/>
  <c r="P11" i="3"/>
  <c r="Q11" i="3" s="1"/>
  <c r="G33" i="8"/>
  <c r="I45" i="6"/>
  <c r="N45" i="6" s="1"/>
  <c r="H92" i="6"/>
  <c r="H122" i="6"/>
  <c r="M122" i="6" s="1"/>
  <c r="N34" i="3"/>
  <c r="P34" i="3"/>
  <c r="H91" i="6" l="1"/>
  <c r="M91" i="6" s="1"/>
  <c r="M92" i="6"/>
  <c r="H44" i="6"/>
  <c r="M45" i="6"/>
  <c r="K127" i="6"/>
  <c r="O127" i="6"/>
  <c r="H133" i="6"/>
  <c r="M133" i="6" s="1"/>
  <c r="K77" i="6"/>
  <c r="N77" i="6"/>
  <c r="H49" i="6"/>
  <c r="M49" i="6" s="1"/>
  <c r="M50" i="6"/>
  <c r="I103" i="6"/>
  <c r="N103" i="6" s="1"/>
  <c r="N104" i="6"/>
  <c r="K93" i="6"/>
  <c r="N93" i="6"/>
  <c r="K66" i="6"/>
  <c r="O66" i="6"/>
  <c r="K135" i="6"/>
  <c r="O135" i="6"/>
  <c r="K19" i="6"/>
  <c r="O19" i="6"/>
  <c r="K45" i="6"/>
  <c r="K50" i="6"/>
  <c r="K123" i="6"/>
  <c r="H11" i="6"/>
  <c r="M11" i="6" s="1"/>
  <c r="J122" i="6"/>
  <c r="O122" i="6" s="1"/>
  <c r="J18" i="6"/>
  <c r="J44" i="6"/>
  <c r="O44" i="6" s="1"/>
  <c r="I133" i="6"/>
  <c r="N133" i="6" s="1"/>
  <c r="I92" i="6"/>
  <c r="N92" i="6" s="1"/>
  <c r="I122" i="6"/>
  <c r="N122" i="6" s="1"/>
  <c r="N12" i="6"/>
  <c r="J134" i="6"/>
  <c r="H121" i="6"/>
  <c r="M121" i="6" s="1"/>
  <c r="I44" i="6"/>
  <c r="N44" i="6" s="1"/>
  <c r="P50" i="3"/>
  <c r="N50" i="3"/>
  <c r="H132" i="6" l="1"/>
  <c r="M132" i="6" s="1"/>
  <c r="K103" i="6"/>
  <c r="M44" i="6"/>
  <c r="H43" i="6"/>
  <c r="M43" i="6" s="1"/>
  <c r="K49" i="6"/>
  <c r="N49" i="6"/>
  <c r="P49" i="6" s="1"/>
  <c r="K134" i="6"/>
  <c r="O134" i="6"/>
  <c r="K18" i="6"/>
  <c r="O18" i="6"/>
  <c r="K44" i="6"/>
  <c r="I91" i="6"/>
  <c r="K92" i="6"/>
  <c r="K122" i="6"/>
  <c r="J121" i="6"/>
  <c r="O121" i="6" s="1"/>
  <c r="J43" i="6"/>
  <c r="O43" i="6" s="1"/>
  <c r="I132" i="6"/>
  <c r="N132" i="6" s="1"/>
  <c r="I121" i="6"/>
  <c r="N121" i="6" s="1"/>
  <c r="H131" i="6"/>
  <c r="M131" i="6" s="1"/>
  <c r="K11" i="6"/>
  <c r="N11" i="6"/>
  <c r="J133" i="6"/>
  <c r="I43" i="6"/>
  <c r="N43" i="6" s="1"/>
  <c r="H10" i="6"/>
  <c r="H9" i="6" s="1"/>
  <c r="H143" i="6" s="1"/>
  <c r="H120" i="6"/>
  <c r="M120" i="6" s="1"/>
  <c r="K91" i="6" l="1"/>
  <c r="N91" i="6"/>
  <c r="K133" i="6"/>
  <c r="O133" i="6"/>
  <c r="J120" i="6"/>
  <c r="O120" i="6" s="1"/>
  <c r="K121" i="6"/>
  <c r="K43" i="6"/>
  <c r="I120" i="6"/>
  <c r="N120" i="6" s="1"/>
  <c r="I10" i="6"/>
  <c r="J10" i="6"/>
  <c r="J9" i="6" s="1"/>
  <c r="I131" i="6"/>
  <c r="N131" i="6" s="1"/>
  <c r="J132" i="6"/>
  <c r="O132" i="6" s="1"/>
  <c r="M143" i="6"/>
  <c r="J131" i="6" l="1"/>
  <c r="J143" i="6" s="1"/>
  <c r="J146" i="6" s="1"/>
  <c r="K132" i="6"/>
  <c r="K120" i="6"/>
  <c r="K10" i="6"/>
  <c r="K131" i="6" l="1"/>
  <c r="O131" i="6"/>
  <c r="F36" i="8"/>
  <c r="F38" i="8" s="1"/>
  <c r="J147" i="6" l="1"/>
  <c r="D36" i="8"/>
  <c r="D38" i="8" s="1"/>
  <c r="E36" i="8" l="1"/>
  <c r="E38" i="8" s="1"/>
  <c r="O12" i="6" l="1"/>
  <c r="H146" i="6" l="1"/>
  <c r="H147" i="6" s="1"/>
  <c r="O143" i="6" l="1"/>
  <c r="I9" i="6" l="1"/>
  <c r="I143" i="6" s="1"/>
  <c r="K9" i="6" l="1"/>
  <c r="N143" i="6" l="1"/>
  <c r="K143" i="6"/>
  <c r="I146" i="6"/>
  <c r="I147" i="6" s="1"/>
</calcChain>
</file>

<file path=xl/sharedStrings.xml><?xml version="1.0" encoding="utf-8"?>
<sst xmlns="http://schemas.openxmlformats.org/spreadsheetml/2006/main" count="1627" uniqueCount="480">
  <si>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</si>
  <si>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</si>
  <si>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</si>
  <si>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</si>
  <si>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</si>
  <si>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</si>
  <si>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</si>
  <si>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</si>
  <si>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</si>
  <si>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</si>
  <si>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</si>
  <si>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</si>
  <si>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</si>
  <si>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</si>
  <si>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</si>
  <si>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</si>
  <si>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</si>
  <si>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</si>
  <si>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</si>
  <si>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</si>
  <si>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</si>
  <si>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</si>
  <si>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</si>
  <si>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</si>
  <si>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</si>
  <si>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</si>
  <si>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</si>
  <si>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</si>
  <si>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</si>
  <si>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</si>
  <si>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</si>
  <si>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</si>
  <si>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</si>
  <si>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</si>
  <si>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</si>
  <si>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</si>
  <si>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</si>
  <si>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</si>
  <si>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</si>
  <si>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</si>
  <si>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</si>
  <si>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</si>
  <si>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</si>
  <si>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</si>
  <si>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</si>
  <si>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</si>
  <si>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</si>
  <si>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</si>
  <si>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</si>
  <si>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</si>
  <si>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</si>
  <si>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</si>
  <si>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</si>
  <si>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</si>
  <si>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</si>
  <si>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</si>
  <si>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</si>
  <si>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</si>
  <si>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</si>
  <si>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</si>
  <si>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</si>
  <si>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</si>
  <si>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</si>
  <si>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</si>
  <si>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</si>
  <si>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</si>
  <si>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</si>
  <si>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</si>
  <si>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</si>
  <si>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</si>
  <si>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</si>
  <si>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</si>
  <si>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</si>
  <si>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</si>
  <si>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</si>
  <si>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</si>
  <si>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</si>
  <si>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</si>
  <si>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</si>
  <si>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</si>
  <si>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</si>
  <si>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</si>
  <si>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</si>
  <si>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</si>
  <si>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</si>
  <si>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</si>
  <si>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</si>
  <si>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</si>
  <si>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</si>
  <si>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</si>
  <si>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</si>
  <si>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</si>
  <si>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</si>
  <si>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</si>
  <si>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</si>
  <si>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</si>
  <si>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</si>
  <si>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</si>
  <si>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</si>
  <si>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</si>
  <si>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</si>
  <si>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</si>
  <si>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</si>
  <si>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</si>
  <si>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</si>
  <si>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</si>
  <si>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</si>
  <si>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</si>
  <si>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</si>
  <si>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</si>
  <si>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</si>
  <si>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</si>
  <si>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</si>
  <si>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</si>
  <si>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</si>
  <si>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</si>
  <si>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</si>
  <si>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</si>
  <si>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</si>
  <si>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</si>
  <si>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</si>
  <si>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</si>
  <si>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</si>
  <si>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</si>
  <si>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</si>
  <si>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</si>
  <si>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</si>
  <si>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</si>
  <si>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</si>
  <si>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</si>
  <si>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</si>
  <si>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</si>
  <si>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</si>
  <si>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</si>
  <si>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</si>
  <si>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</si>
  <si>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</si>
  <si>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</si>
  <si>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</si>
  <si>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</si>
  <si>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</si>
  <si>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</si>
  <si>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</si>
  <si>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</si>
  <si>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</si>
  <si>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</si>
  <si>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</si>
  <si>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</si>
  <si>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</si>
  <si>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</si>
  <si>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</si>
  <si>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</si>
  <si>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</si>
  <si>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</si>
  <si>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</si>
  <si>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</si>
  <si>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</si>
  <si>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</si>
  <si>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</si>
  <si>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</si>
  <si>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</si>
  <si>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</si>
  <si>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</si>
  <si>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</si>
  <si>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</si>
  <si>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</si>
  <si>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</si>
  <si>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</si>
  <si>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</si>
  <si>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</si>
  <si>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</si>
  <si>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</si>
  <si>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</si>
  <si>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</si>
  <si>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</si>
  <si>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</si>
  <si>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</si>
  <si>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</si>
  <si>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</si>
  <si>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</si>
  <si>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</si>
  <si>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</si>
  <si>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</si>
  <si>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</si>
  <si>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</si>
  <si>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</si>
  <si>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</si>
  <si>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</si>
  <si>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</si>
  <si>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</si>
  <si>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</si>
  <si>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</si>
  <si>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</si>
  <si>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</si>
  <si>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</si>
  <si>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</si>
  <si>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</si>
  <si>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</si>
  <si>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</si>
  <si>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</si>
  <si>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</si>
  <si>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</si>
  <si>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</si>
  <si>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</si>
  <si>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</si>
  <si>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</si>
  <si>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</si>
  <si>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</si>
  <si>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</si>
  <si>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</si>
  <si>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</si>
  <si>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</si>
  <si>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</si>
  <si>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</si>
  <si>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</si>
  <si>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</si>
  <si>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</si>
  <si>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</si>
  <si>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</si>
  <si>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</si>
  <si>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</si>
  <si>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</si>
  <si>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</si>
  <si>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</si>
  <si>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</si>
  <si>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</si>
  <si>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</si>
  <si>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</si>
  <si>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</si>
  <si>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</si>
  <si>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</si>
  <si>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</si>
  <si>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</si>
  <si>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</si>
  <si>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</si>
  <si>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</si>
  <si>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</si>
  <si>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</si>
  <si>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</si>
  <si>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</si>
  <si>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</si>
  <si>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</si>
  <si>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</si>
  <si>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</si>
  <si>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</si>
  <si>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</si>
  <si>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</si>
  <si>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</si>
  <si>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</si>
  <si>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</si>
  <si>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</si>
  <si>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</si>
  <si>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</si>
  <si>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</si>
  <si>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</si>
  <si>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</si>
  <si>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</si>
  <si>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</si>
  <si>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</si>
  <si>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</si>
  <si>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</si>
  <si>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</si>
  <si>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</si>
  <si>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</si>
  <si>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</si>
  <si>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</si>
  <si>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</si>
  <si>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</si>
  <si>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</si>
  <si>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</si>
  <si>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</si>
  <si>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</si>
  <si>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</si>
  <si>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</si>
  <si>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</si>
  <si>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</si>
  <si>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</si>
  <si>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</si>
  <si>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</si>
  <si>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</si>
  <si>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</si>
  <si>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</si>
  <si>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</si>
  <si>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</si>
  <si>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</si>
  <si>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</si>
  <si>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</si>
  <si>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</si>
  <si>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</si>
  <si>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</si>
  <si>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</si>
  <si>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</si>
  <si>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</si>
  <si>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</si>
  <si>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</si>
  <si>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</si>
  <si>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</si>
  <si>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</si>
  <si>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</si>
  <si>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</si>
  <si>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</si>
  <si>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</si>
  <si>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</si>
  <si>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</si>
  <si>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</si>
  <si>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</si>
  <si>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</si>
  <si>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</si>
  <si>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</si>
  <si>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</si>
  <si>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</si>
  <si>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</si>
  <si>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</si>
  <si>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</si>
  <si>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</si>
  <si>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</si>
  <si>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</si>
  <si>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</si>
  <si>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</si>
  <si>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</si>
  <si>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</si>
  <si>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</si>
  <si>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</si>
  <si>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</si>
  <si>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</si>
  <si>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</si>
  <si>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</si>
  <si>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</si>
  <si>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</si>
  <si>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</si>
  <si>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</si>
  <si>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</si>
  <si>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</si>
  <si>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</si>
  <si>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</si>
  <si>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</si>
  <si>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</si>
  <si>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</si>
  <si>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</si>
  <si>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</si>
  <si>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</si>
  <si>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</si>
  <si>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</si>
  <si>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</si>
  <si>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</si>
  <si>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</si>
  <si>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</si>
  <si>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</si>
  <si>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</si>
  <si>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</si>
  <si>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</si>
  <si>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</si>
  <si>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</si>
  <si>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</si>
  <si>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</si>
  <si>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</si>
  <si>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</si>
  <si>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</si>
  <si>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</si>
  <si>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</si>
  <si>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</si>
  <si>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</si>
  <si>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</si>
  <si>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</si>
  <si>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</si>
  <si>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</si>
  <si>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</si>
  <si>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</si>
  <si>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</si>
  <si>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</si>
  <si>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</si>
  <si>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</si>
  <si>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</si>
  <si>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</si>
  <si>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</si>
  <si>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</si>
  <si>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</si>
  <si>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</si>
  <si>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</si>
  <si>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</si>
  <si>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</si>
  <si>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</si>
  <si>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</si>
  <si>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</si>
  <si>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</si>
  <si>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</si>
  <si>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</si>
  <si>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</si>
  <si>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</si>
  <si>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</si>
  <si>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</si>
  <si>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</si>
  <si>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</si>
  <si>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</si>
  <si>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</si>
  <si>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</si>
  <si>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</si>
  <si>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</si>
  <si>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</si>
  <si>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</si>
  <si>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</si>
  <si>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</si>
  <si>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</si>
  <si>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</si>
  <si>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</si>
  <si>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</si>
  <si>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</si>
  <si>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</si>
  <si>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</si>
  <si>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</si>
  <si>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</si>
  <si>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</si>
  <si>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</si>
  <si>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11715030100000150</t>
  </si>
  <si>
    <t>Инициативные платежи, зачисляемые в бюджеты сельских поселений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</si>
  <si>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</si>
  <si>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</si>
  <si>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</si>
  <si>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</si>
  <si>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</si>
  <si>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</si>
  <si>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</si>
  <si>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Невыясненныет поступления, зачисляемые в бюджеты сельских поселений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</si>
  <si>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</si>
  <si>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</si>
  <si>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</si>
  <si>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</si>
  <si>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</si>
  <si>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</si>
  <si>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</si>
  <si>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20249999107641150</t>
  </si>
  <si>
    <t>Софинансирование. Увеличение стоимости материальных запасов</t>
  </si>
  <si>
    <t>Расходы на благоустройство в рамках непрограммных расходов Администрации Казанцевского сельсовета</t>
  </si>
  <si>
    <t>Прочие межбюджетные трансферты, передаваемые бюджетам сельских поселений (реализация мероприятий по поддержке местных инициатив)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</si>
  <si>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</si>
  <si>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</si>
  <si>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</si>
  <si>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</si>
  <si>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</si>
  <si>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</si>
  <si>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 xml:space="preserve">                                                                                                     Приложение № 6</t>
  </si>
  <si>
    <t>17.1</t>
  </si>
  <si>
    <t>18.1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</si>
  <si>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</si>
  <si>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</si>
  <si>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Прочие вопросы в области благоустройства</t>
  </si>
  <si>
    <t>Уплата иных платежей</t>
  </si>
  <si>
    <t xml:space="preserve">Отчет об использовании средств резервного фонда
на  01.04.2023
</t>
  </si>
  <si>
    <t>Утвержденные денежные средства по состоянию на 01.01.2023</t>
  </si>
  <si>
    <t>Кассовые расходы по состоянию на 01.04.2023</t>
  </si>
  <si>
    <t>Денежные средства на счете по состоянию на 01.04.2023</t>
  </si>
  <si>
    <t>Распределение расходов бюджета по разделам и подразделам классификации расходов бюджета за 1 квартал 2023 г.</t>
  </si>
  <si>
    <t>Утвержденные бюджетные назначения на 2023 г.</t>
  </si>
  <si>
    <t>Уточненные бюджетные назначения на 01.04.2023 г.</t>
  </si>
  <si>
    <t>Исполнено на 01.04.2023 г.</t>
  </si>
  <si>
    <t>Доходы бюджета Казанцевского сельсовета за 1 квартал 2023 г.</t>
  </si>
  <si>
    <t>Ведомственная структура расходов бюджета Казанцевского сельсовета за 1 квартал 2023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</si>
  <si>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1 квартал 2023 г.</t>
  </si>
  <si>
    <t>Перечень главных администраторов доходов бюджета поселения за 1 квартал 2023 г.</t>
  </si>
  <si>
    <t>065</t>
  </si>
  <si>
    <t>Доходы,  поступающие в порядке возмещения расходов, понесенных в связи с эксплуатацией имущества сельских поселений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</si>
  <si>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</si>
  <si>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</si>
  <si>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17.2.</t>
  </si>
  <si>
    <t>18.2</t>
  </si>
  <si>
    <t>19.1</t>
  </si>
  <si>
    <t>19.2.</t>
  </si>
  <si>
    <t>19.3</t>
  </si>
  <si>
    <t>19.4</t>
  </si>
  <si>
    <t>19.5</t>
  </si>
  <si>
    <t>Источники внутреннего финансирования дефицита бюджета Казанцевского сельсовета на 01.04.2023 г.</t>
  </si>
  <si>
    <t>2023</t>
  </si>
  <si>
    <t xml:space="preserve">                                                  от "23" мая 2023 г. № 6-23</t>
  </si>
  <si>
    <t xml:space="preserve">                                                              от "23" мая 2023 г. № 6-23</t>
  </si>
  <si>
    <t xml:space="preserve">                                        от "23" мая 2023 г. № 6-23</t>
  </si>
  <si>
    <t xml:space="preserve">           от "23" мая 2023 г. № 6-23</t>
  </si>
  <si>
    <t xml:space="preserve">                                                   от "23" мая 2023 г. № 6-23</t>
  </si>
  <si>
    <t xml:space="preserve">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</si>
  <si>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от "23" мая 2023 г. № 6-23</t>
  </si>
  <si>
    <t xml:space="preserve">             от "23" мая 2023 г. № 6-23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</si>
</sst>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65" fontId="3" fillId="0" borderId="38" xfId="0" applyNumberFormat="1" applyFont="1" applyBorder="1" applyAlignment="1">
      <alignment horizontal="right" wrapText="1"/>
    </xf>
    <xf numFmtId="165" fontId="3" fillId="0" borderId="9" xfId="0" applyNumberFormat="1" applyFont="1" applyBorder="1" applyAlignment="1">
      <alignment horizontal="right" wrapText="1"/>
    </xf>
    <xf numFmtId="165" fontId="3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3" fillId="0" borderId="14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37" t="s">
        <v>397</v>
      </c>
      <c r="K1" s="2"/>
      <c r="L1" s="2"/>
      <c r="M1" s="2"/>
    </row>
    <row r="2" spans="1:13" ht="15.75" x14ac:dyDescent="0.25">
      <c r="J2" s="138" t="s">
        <v>383</v>
      </c>
      <c r="K2" s="2"/>
      <c r="L2" s="2"/>
      <c r="M2" s="2"/>
    </row>
    <row r="3" spans="1:13" ht="15.75" x14ac:dyDescent="0.25">
      <c r="J3" s="138" t="s">
        <v>472</v>
      </c>
      <c r="K3" s="2"/>
      <c r="L3" s="2"/>
      <c r="M3" s="2"/>
    </row>
    <row r="4" spans="1:13" ht="8.25" customHeight="1" x14ac:dyDescent="0.2">
      <c r="J4" s="133"/>
    </row>
    <row r="5" spans="1:13" ht="27.75" customHeight="1" x14ac:dyDescent="0.3">
      <c r="A5" s="256" t="s">
        <v>458</v>
      </c>
      <c r="B5" s="256"/>
      <c r="C5" s="256"/>
      <c r="D5" s="256"/>
      <c r="E5" s="256"/>
      <c r="F5" s="256"/>
      <c r="G5" s="256"/>
      <c r="H5" s="256"/>
      <c r="I5" s="256"/>
      <c r="J5" s="256"/>
    </row>
    <row r="6" spans="1:13" ht="14.25" customHeight="1" x14ac:dyDescent="0.2">
      <c r="B6" s="259"/>
      <c r="C6" s="259"/>
      <c r="D6" s="259"/>
      <c r="E6" s="259"/>
      <c r="F6" s="259"/>
      <c r="G6" s="259"/>
      <c r="H6" s="259"/>
      <c r="I6" s="259"/>
      <c r="J6" s="259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57" t="s">
        <v>0</v>
      </c>
      <c r="D8" s="257"/>
      <c r="E8" s="251" t="s">
        <v>2</v>
      </c>
      <c r="F8" s="251"/>
      <c r="G8" s="251"/>
      <c r="H8" s="251"/>
      <c r="I8" s="251"/>
      <c r="J8" s="251"/>
    </row>
    <row r="9" spans="1:13" x14ac:dyDescent="0.2">
      <c r="A9" s="96"/>
      <c r="B9" s="239">
        <v>1</v>
      </c>
      <c r="C9" s="260">
        <v>2</v>
      </c>
      <c r="D9" s="260"/>
      <c r="E9" s="255">
        <v>3</v>
      </c>
      <c r="F9" s="255"/>
      <c r="G9" s="255"/>
      <c r="H9" s="255"/>
      <c r="I9" s="255"/>
      <c r="J9" s="255"/>
    </row>
    <row r="10" spans="1:13" ht="15" customHeight="1" x14ac:dyDescent="0.2">
      <c r="A10" s="258" t="s">
        <v>8</v>
      </c>
      <c r="B10" s="258"/>
      <c r="C10" s="258"/>
      <c r="D10" s="258"/>
      <c r="E10" s="258"/>
      <c r="F10" s="258"/>
      <c r="G10" s="258"/>
      <c r="H10" s="258"/>
      <c r="I10" s="258"/>
      <c r="J10" s="258"/>
    </row>
    <row r="11" spans="1:13" ht="39" customHeight="1" x14ac:dyDescent="0.2">
      <c r="A11" s="238">
        <v>1</v>
      </c>
      <c r="B11" s="238">
        <v>807</v>
      </c>
      <c r="C11" s="246" t="s">
        <v>9</v>
      </c>
      <c r="D11" s="246"/>
      <c r="E11" s="245" t="s">
        <v>165</v>
      </c>
      <c r="F11" s="245"/>
      <c r="G11" s="245"/>
      <c r="H11" s="245"/>
      <c r="I11" s="245"/>
      <c r="J11" s="245"/>
    </row>
    <row r="12" spans="1:13" ht="30" customHeight="1" x14ac:dyDescent="0.2">
      <c r="A12" s="238">
        <v>2</v>
      </c>
      <c r="B12" s="238">
        <v>807</v>
      </c>
      <c r="C12" s="246" t="s">
        <v>82</v>
      </c>
      <c r="D12" s="246"/>
      <c r="E12" s="245" t="s">
        <v>83</v>
      </c>
      <c r="F12" s="245"/>
      <c r="G12" s="245"/>
      <c r="H12" s="245"/>
      <c r="I12" s="245"/>
      <c r="J12" s="245"/>
    </row>
    <row r="13" spans="1:13" ht="28.5" customHeight="1" x14ac:dyDescent="0.2">
      <c r="A13" s="238">
        <v>3</v>
      </c>
      <c r="B13" s="238">
        <v>807</v>
      </c>
      <c r="C13" s="246" t="s">
        <v>4</v>
      </c>
      <c r="D13" s="246"/>
      <c r="E13" s="245" t="s">
        <v>84</v>
      </c>
      <c r="F13" s="245"/>
      <c r="G13" s="245"/>
      <c r="H13" s="245"/>
      <c r="I13" s="245"/>
      <c r="J13" s="245"/>
    </row>
    <row r="14" spans="1:13" ht="28.5" customHeight="1" x14ac:dyDescent="0.2">
      <c r="A14" s="238">
        <v>4</v>
      </c>
      <c r="B14" s="238">
        <v>807</v>
      </c>
      <c r="C14" s="246" t="s">
        <v>5</v>
      </c>
      <c r="D14" s="246"/>
      <c r="E14" s="245" t="s">
        <v>85</v>
      </c>
      <c r="F14" s="245"/>
      <c r="G14" s="245"/>
      <c r="H14" s="245"/>
      <c r="I14" s="245"/>
      <c r="J14" s="245"/>
    </row>
    <row r="15" spans="1:13" ht="21.75" customHeight="1" x14ac:dyDescent="0.2">
      <c r="A15" s="238">
        <v>5</v>
      </c>
      <c r="B15" s="238">
        <v>807</v>
      </c>
      <c r="C15" s="246" t="s">
        <v>262</v>
      </c>
      <c r="D15" s="246"/>
      <c r="E15" s="248" t="s">
        <v>263</v>
      </c>
      <c r="F15" s="248"/>
      <c r="G15" s="248"/>
      <c r="H15" s="248"/>
      <c r="I15" s="248"/>
      <c r="J15" s="248"/>
    </row>
    <row r="16" spans="1:13" ht="33.75" customHeight="1" x14ac:dyDescent="0.2">
      <c r="A16" s="238">
        <v>6</v>
      </c>
      <c r="B16" s="238">
        <v>807</v>
      </c>
      <c r="C16" s="246" t="s">
        <v>60</v>
      </c>
      <c r="D16" s="246"/>
      <c r="E16" s="248" t="s">
        <v>86</v>
      </c>
      <c r="F16" s="248"/>
      <c r="G16" s="248"/>
      <c r="H16" s="248"/>
      <c r="I16" s="248"/>
      <c r="J16" s="248"/>
    </row>
    <row r="17" spans="1:10" ht="43.5" customHeight="1" x14ac:dyDescent="0.2">
      <c r="A17" s="238">
        <v>7</v>
      </c>
      <c r="B17" s="238">
        <v>807</v>
      </c>
      <c r="C17" s="246" t="s">
        <v>59</v>
      </c>
      <c r="D17" s="251"/>
      <c r="E17" s="247" t="s">
        <v>87</v>
      </c>
      <c r="F17" s="247"/>
      <c r="G17" s="247"/>
      <c r="H17" s="247"/>
      <c r="I17" s="247"/>
      <c r="J17" s="247"/>
    </row>
    <row r="18" spans="1:10" ht="17.25" customHeight="1" x14ac:dyDescent="0.2">
      <c r="A18" s="238">
        <v>8</v>
      </c>
      <c r="B18" s="238">
        <v>807</v>
      </c>
      <c r="C18" s="246" t="s">
        <v>368</v>
      </c>
      <c r="D18" s="246"/>
      <c r="E18" s="247" t="s">
        <v>411</v>
      </c>
      <c r="F18" s="247"/>
      <c r="G18" s="247"/>
      <c r="H18" s="247"/>
      <c r="I18" s="247"/>
      <c r="J18" s="247"/>
    </row>
    <row r="19" spans="1:10" ht="27.75" customHeight="1" x14ac:dyDescent="0.2">
      <c r="A19" s="238">
        <v>9</v>
      </c>
      <c r="B19" s="238">
        <v>807</v>
      </c>
      <c r="C19" s="246" t="s">
        <v>400</v>
      </c>
      <c r="D19" s="246"/>
      <c r="E19" s="247" t="s">
        <v>412</v>
      </c>
      <c r="F19" s="247"/>
      <c r="G19" s="247"/>
      <c r="H19" s="247"/>
      <c r="I19" s="247"/>
      <c r="J19" s="247"/>
    </row>
    <row r="20" spans="1:10" ht="19.5" customHeight="1" x14ac:dyDescent="0.2">
      <c r="A20" s="238">
        <v>10</v>
      </c>
      <c r="B20" s="238">
        <v>807</v>
      </c>
      <c r="C20" s="246" t="s">
        <v>7</v>
      </c>
      <c r="D20" s="246"/>
      <c r="E20" s="249" t="s">
        <v>88</v>
      </c>
      <c r="F20" s="249"/>
      <c r="G20" s="249"/>
      <c r="H20" s="249"/>
      <c r="I20" s="249"/>
      <c r="J20" s="249"/>
    </row>
    <row r="21" spans="1:10" ht="18" customHeight="1" x14ac:dyDescent="0.2">
      <c r="A21" s="238">
        <v>11</v>
      </c>
      <c r="B21" s="238">
        <v>807</v>
      </c>
      <c r="C21" s="246" t="s">
        <v>413</v>
      </c>
      <c r="D21" s="246"/>
      <c r="E21" s="249" t="s">
        <v>414</v>
      </c>
      <c r="F21" s="249"/>
      <c r="G21" s="249"/>
      <c r="H21" s="249"/>
      <c r="I21" s="249"/>
      <c r="J21" s="249"/>
    </row>
    <row r="22" spans="1:10" ht="16.5" customHeight="1" x14ac:dyDescent="0.2">
      <c r="A22" s="238">
        <v>12</v>
      </c>
      <c r="B22" s="238">
        <v>807</v>
      </c>
      <c r="C22" s="246" t="s">
        <v>415</v>
      </c>
      <c r="D22" s="246"/>
      <c r="E22" s="249" t="s">
        <v>416</v>
      </c>
      <c r="F22" s="249"/>
      <c r="G22" s="249"/>
      <c r="H22" s="249"/>
      <c r="I22" s="249"/>
      <c r="J22" s="249"/>
    </row>
    <row r="23" spans="1:10" ht="27.75" customHeight="1" x14ac:dyDescent="0.2">
      <c r="A23" s="238">
        <v>13</v>
      </c>
      <c r="B23" s="238">
        <v>807</v>
      </c>
      <c r="C23" s="246" t="s">
        <v>417</v>
      </c>
      <c r="D23" s="246"/>
      <c r="E23" s="247" t="s">
        <v>418</v>
      </c>
      <c r="F23" s="247"/>
      <c r="G23" s="247"/>
      <c r="H23" s="247"/>
      <c r="I23" s="247"/>
      <c r="J23" s="247"/>
    </row>
    <row r="24" spans="1:10" ht="56.25" customHeight="1" x14ac:dyDescent="0.2">
      <c r="A24" s="238">
        <v>14</v>
      </c>
      <c r="B24" s="238">
        <v>807</v>
      </c>
      <c r="C24" s="250" t="s">
        <v>243</v>
      </c>
      <c r="D24" s="250"/>
      <c r="E24" s="247" t="s">
        <v>287</v>
      </c>
      <c r="F24" s="247"/>
      <c r="G24" s="247"/>
      <c r="H24" s="247"/>
      <c r="I24" s="247"/>
      <c r="J24" s="247"/>
    </row>
    <row r="25" spans="1:10" ht="68.25" customHeight="1" x14ac:dyDescent="0.2">
      <c r="A25" s="238">
        <v>15</v>
      </c>
      <c r="B25" s="238">
        <v>807</v>
      </c>
      <c r="C25" s="250" t="s">
        <v>244</v>
      </c>
      <c r="D25" s="250"/>
      <c r="E25" s="247" t="s">
        <v>288</v>
      </c>
      <c r="F25" s="247"/>
      <c r="G25" s="247"/>
      <c r="H25" s="247"/>
      <c r="I25" s="247"/>
      <c r="J25" s="247"/>
    </row>
    <row r="26" spans="1:10" ht="17.25" customHeight="1" x14ac:dyDescent="0.2">
      <c r="A26" s="238">
        <v>16</v>
      </c>
      <c r="B26" s="238">
        <v>807</v>
      </c>
      <c r="C26" s="250" t="s">
        <v>245</v>
      </c>
      <c r="D26" s="250"/>
      <c r="E26" s="247" t="s">
        <v>289</v>
      </c>
      <c r="F26" s="247"/>
      <c r="G26" s="247"/>
      <c r="H26" s="247"/>
      <c r="I26" s="247"/>
      <c r="J26" s="247"/>
    </row>
    <row r="27" spans="1:10" ht="39.75" customHeight="1" x14ac:dyDescent="0.2">
      <c r="A27" s="238">
        <v>17</v>
      </c>
      <c r="B27" s="238">
        <v>807</v>
      </c>
      <c r="C27" s="250" t="s">
        <v>246</v>
      </c>
      <c r="D27" s="250"/>
      <c r="E27" s="245" t="s">
        <v>290</v>
      </c>
      <c r="F27" s="245"/>
      <c r="G27" s="245"/>
      <c r="H27" s="245"/>
      <c r="I27" s="245"/>
      <c r="J27" s="245"/>
    </row>
    <row r="28" spans="1:10" ht="53.25" customHeight="1" x14ac:dyDescent="0.2">
      <c r="A28" s="238">
        <v>18</v>
      </c>
      <c r="B28" s="238">
        <v>807</v>
      </c>
      <c r="C28" s="250" t="s">
        <v>247</v>
      </c>
      <c r="D28" s="250"/>
      <c r="E28" s="245" t="s">
        <v>291</v>
      </c>
      <c r="F28" s="245"/>
      <c r="G28" s="245"/>
      <c r="H28" s="245"/>
      <c r="I28" s="245"/>
      <c r="J28" s="245"/>
    </row>
    <row r="29" spans="1:10" ht="15" customHeight="1" x14ac:dyDescent="0.2">
      <c r="A29" s="238">
        <v>19</v>
      </c>
      <c r="B29" s="238">
        <v>807</v>
      </c>
      <c r="C29" s="246" t="s">
        <v>248</v>
      </c>
      <c r="D29" s="246"/>
      <c r="E29" s="245" t="s">
        <v>50</v>
      </c>
      <c r="F29" s="245"/>
      <c r="G29" s="245"/>
      <c r="H29" s="245"/>
      <c r="I29" s="245"/>
      <c r="J29" s="245"/>
    </row>
    <row r="30" spans="1:10" ht="20.25" customHeight="1" x14ac:dyDescent="0.2">
      <c r="A30" s="238">
        <v>20</v>
      </c>
      <c r="B30" s="238">
        <v>807</v>
      </c>
      <c r="C30" s="246" t="s">
        <v>249</v>
      </c>
      <c r="D30" s="246"/>
      <c r="E30" s="248" t="s">
        <v>202</v>
      </c>
      <c r="F30" s="252"/>
      <c r="G30" s="252"/>
      <c r="H30" s="252"/>
      <c r="I30" s="252"/>
      <c r="J30" s="252"/>
    </row>
    <row r="31" spans="1:10" ht="16.5" customHeight="1" x14ac:dyDescent="0.2">
      <c r="A31" s="238">
        <v>21</v>
      </c>
      <c r="B31" s="238">
        <v>807</v>
      </c>
      <c r="C31" s="246" t="s">
        <v>250</v>
      </c>
      <c r="D31" s="246"/>
      <c r="E31" s="248" t="s">
        <v>203</v>
      </c>
      <c r="F31" s="252"/>
      <c r="G31" s="252"/>
      <c r="H31" s="252"/>
      <c r="I31" s="252"/>
      <c r="J31" s="252"/>
    </row>
    <row r="32" spans="1:10" ht="43.5" customHeight="1" x14ac:dyDescent="0.2">
      <c r="A32" s="238">
        <v>22</v>
      </c>
      <c r="B32" s="238">
        <v>807</v>
      </c>
      <c r="C32" s="246" t="s">
        <v>423</v>
      </c>
      <c r="D32" s="246"/>
      <c r="E32" s="247" t="s">
        <v>424</v>
      </c>
      <c r="F32" s="247"/>
      <c r="G32" s="247"/>
      <c r="H32" s="247"/>
      <c r="I32" s="247"/>
      <c r="J32" s="247"/>
    </row>
    <row r="33" spans="1:10" ht="18" customHeight="1" x14ac:dyDescent="0.2">
      <c r="A33" s="238">
        <v>23</v>
      </c>
      <c r="B33" s="238">
        <v>807</v>
      </c>
      <c r="C33" s="255" t="s">
        <v>369</v>
      </c>
      <c r="D33" s="255"/>
      <c r="E33" s="135" t="s">
        <v>370</v>
      </c>
      <c r="F33" s="135"/>
      <c r="G33" s="135"/>
      <c r="H33" s="135"/>
      <c r="I33" s="135"/>
      <c r="J33" s="135"/>
    </row>
    <row r="34" spans="1:10" ht="40.5" customHeight="1" x14ac:dyDescent="0.2">
      <c r="A34" s="238">
        <v>24</v>
      </c>
      <c r="B34" s="238">
        <v>807</v>
      </c>
      <c r="C34" s="246" t="s">
        <v>371</v>
      </c>
      <c r="D34" s="246"/>
      <c r="E34" s="253" t="s">
        <v>419</v>
      </c>
      <c r="F34" s="254"/>
      <c r="G34" s="254"/>
      <c r="H34" s="254"/>
      <c r="I34" s="254"/>
      <c r="J34" s="254"/>
    </row>
    <row r="35" spans="1:10" ht="25.5" customHeight="1" x14ac:dyDescent="0.2">
      <c r="A35" s="238">
        <v>25</v>
      </c>
      <c r="B35" s="238">
        <v>807</v>
      </c>
      <c r="C35" s="246" t="s">
        <v>420</v>
      </c>
      <c r="D35" s="246"/>
      <c r="E35" s="253" t="s">
        <v>421</v>
      </c>
      <c r="F35" s="254"/>
      <c r="G35" s="254"/>
      <c r="H35" s="254"/>
      <c r="I35" s="254"/>
      <c r="J35" s="254"/>
    </row>
    <row r="36" spans="1:10" ht="15.75" customHeight="1" x14ac:dyDescent="0.2">
      <c r="A36" s="238">
        <v>26</v>
      </c>
      <c r="B36" s="238">
        <v>807</v>
      </c>
      <c r="C36" s="246" t="s">
        <v>6</v>
      </c>
      <c r="D36" s="246"/>
      <c r="E36" s="247" t="s">
        <v>422</v>
      </c>
      <c r="F36" s="247"/>
      <c r="G36" s="247"/>
      <c r="H36" s="247"/>
      <c r="I36" s="247"/>
      <c r="J36" s="247"/>
    </row>
    <row r="37" spans="1:10" ht="21" customHeight="1" x14ac:dyDescent="0.2">
      <c r="A37" s="238">
        <v>27</v>
      </c>
      <c r="B37" s="238">
        <v>807</v>
      </c>
      <c r="C37" s="246" t="s">
        <v>430</v>
      </c>
      <c r="D37" s="246"/>
      <c r="E37" s="247" t="s">
        <v>433</v>
      </c>
      <c r="F37" s="247"/>
      <c r="G37" s="247"/>
      <c r="H37" s="247"/>
      <c r="I37" s="247"/>
      <c r="J37" s="247"/>
    </row>
    <row r="38" spans="1:10" ht="15.75" customHeight="1" x14ac:dyDescent="0.2">
      <c r="A38" s="238">
        <v>28</v>
      </c>
      <c r="B38" s="238">
        <v>807</v>
      </c>
      <c r="C38" s="246" t="s">
        <v>434</v>
      </c>
      <c r="D38" s="246"/>
      <c r="E38" s="247" t="s">
        <v>435</v>
      </c>
      <c r="F38" s="247"/>
      <c r="G38" s="247"/>
      <c r="H38" s="247"/>
      <c r="I38" s="247"/>
      <c r="J38" s="247"/>
    </row>
    <row r="39" spans="1:10" ht="12.75" customHeight="1" x14ac:dyDescent="0.2">
      <c r="A39" s="238">
        <v>29</v>
      </c>
      <c r="B39" s="238">
        <v>807</v>
      </c>
      <c r="C39" s="246" t="s">
        <v>436</v>
      </c>
      <c r="D39" s="246"/>
      <c r="E39" s="247" t="s">
        <v>437</v>
      </c>
      <c r="F39" s="247"/>
      <c r="G39" s="247"/>
      <c r="H39" s="247"/>
      <c r="I39" s="247"/>
      <c r="J39" s="247"/>
    </row>
  </sheetData>
  <mergeCells count="64">
    <mergeCell ref="C39:D39"/>
    <mergeCell ref="E39:J39"/>
    <mergeCell ref="C37:D37"/>
    <mergeCell ref="E37:J37"/>
    <mergeCell ref="E35:J35"/>
    <mergeCell ref="C36:D36"/>
    <mergeCell ref="E36:J36"/>
    <mergeCell ref="A5:J5"/>
    <mergeCell ref="C8:D8"/>
    <mergeCell ref="E8:J8"/>
    <mergeCell ref="A10:J10"/>
    <mergeCell ref="B6:J6"/>
    <mergeCell ref="C9:D9"/>
    <mergeCell ref="E9:J9"/>
    <mergeCell ref="C32:D32"/>
    <mergeCell ref="E32:J32"/>
    <mergeCell ref="E26:J26"/>
    <mergeCell ref="C38:D38"/>
    <mergeCell ref="E38:J38"/>
    <mergeCell ref="C29:D29"/>
    <mergeCell ref="E29:J29"/>
    <mergeCell ref="C30:D30"/>
    <mergeCell ref="E27:J27"/>
    <mergeCell ref="C34:D34"/>
    <mergeCell ref="E31:J31"/>
    <mergeCell ref="E34:J34"/>
    <mergeCell ref="C33:D33"/>
    <mergeCell ref="C31:D31"/>
    <mergeCell ref="C35:D35"/>
    <mergeCell ref="E30:J30"/>
    <mergeCell ref="C27:D27"/>
    <mergeCell ref="C28:D28"/>
    <mergeCell ref="E28:J28"/>
    <mergeCell ref="E24:J24"/>
    <mergeCell ref="C24:D24"/>
    <mergeCell ref="C26:D26"/>
    <mergeCell ref="E16:J16"/>
    <mergeCell ref="C17:D17"/>
    <mergeCell ref="C20:D20"/>
    <mergeCell ref="E14:J14"/>
    <mergeCell ref="C14:D14"/>
    <mergeCell ref="C16:D16"/>
    <mergeCell ref="E20:J20"/>
    <mergeCell ref="E18:J18"/>
    <mergeCell ref="E25:J25"/>
    <mergeCell ref="C25:D25"/>
    <mergeCell ref="E22:J22"/>
    <mergeCell ref="E23:J23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3:J13"/>
    <mergeCell ref="C13:D13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A5" sqref="A5:M5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68" t="s">
        <v>407</v>
      </c>
      <c r="J1" s="268"/>
      <c r="K1" s="268"/>
      <c r="L1" s="269"/>
      <c r="M1" s="269"/>
    </row>
    <row r="2" spans="1:17" ht="15.75" x14ac:dyDescent="0.25">
      <c r="E2" s="270" t="s">
        <v>384</v>
      </c>
      <c r="F2" s="270"/>
      <c r="G2" s="270"/>
      <c r="H2" s="270"/>
      <c r="I2" s="270"/>
      <c r="J2" s="270"/>
      <c r="K2" s="270"/>
      <c r="L2" s="271"/>
      <c r="M2" s="271"/>
    </row>
    <row r="3" spans="1:17" ht="15.75" x14ac:dyDescent="0.25">
      <c r="E3" s="15"/>
      <c r="F3" s="136"/>
      <c r="G3" s="136"/>
      <c r="H3" s="269" t="s">
        <v>473</v>
      </c>
      <c r="I3" s="269"/>
      <c r="J3" s="269"/>
      <c r="K3" s="269"/>
      <c r="L3" s="269"/>
      <c r="M3" s="269"/>
    </row>
    <row r="5" spans="1:17" ht="48.75" customHeight="1" x14ac:dyDescent="0.3">
      <c r="A5" s="272" t="s">
        <v>470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</row>
    <row r="7" spans="1:17" x14ac:dyDescent="0.2">
      <c r="M7" s="133" t="s">
        <v>367</v>
      </c>
    </row>
    <row r="8" spans="1:17" ht="12.75" customHeight="1" x14ac:dyDescent="0.2">
      <c r="A8" s="273" t="s">
        <v>53</v>
      </c>
      <c r="B8" s="275" t="s">
        <v>89</v>
      </c>
      <c r="C8" s="276"/>
      <c r="D8" s="276"/>
      <c r="E8" s="276"/>
      <c r="F8" s="276"/>
      <c r="G8" s="276"/>
      <c r="H8" s="276"/>
      <c r="I8" s="277"/>
      <c r="J8" s="263" t="s">
        <v>53</v>
      </c>
      <c r="K8" s="257" t="s">
        <v>309</v>
      </c>
      <c r="L8" s="279" t="s">
        <v>310</v>
      </c>
      <c r="M8" s="261" t="s">
        <v>471</v>
      </c>
    </row>
    <row r="9" spans="1:17" ht="163.5" x14ac:dyDescent="0.2">
      <c r="A9" s="274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64"/>
      <c r="K9" s="278"/>
      <c r="L9" s="280"/>
      <c r="M9" s="262"/>
    </row>
    <row r="10" spans="1:17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1" t="s">
        <v>321</v>
      </c>
      <c r="L11" s="122" t="s">
        <v>344</v>
      </c>
      <c r="M11" s="123">
        <v>0</v>
      </c>
      <c r="O11" s="20"/>
      <c r="P11" s="20"/>
    </row>
    <row r="12" spans="1:17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07" t="s">
        <v>127</v>
      </c>
      <c r="K12" s="121" t="s">
        <v>322</v>
      </c>
      <c r="L12" s="122" t="s">
        <v>345</v>
      </c>
      <c r="M12" s="123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278</v>
      </c>
      <c r="K13" s="121" t="s">
        <v>323</v>
      </c>
      <c r="L13" s="122" t="s">
        <v>346</v>
      </c>
      <c r="M13" s="123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07" t="s">
        <v>279</v>
      </c>
      <c r="K14" s="121" t="s">
        <v>324</v>
      </c>
      <c r="L14" s="122" t="s">
        <v>347</v>
      </c>
      <c r="M14" s="123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2" t="s">
        <v>280</v>
      </c>
      <c r="K15" s="121" t="s">
        <v>325</v>
      </c>
      <c r="L15" s="122" t="s">
        <v>348</v>
      </c>
      <c r="M15" s="123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107" t="s">
        <v>286</v>
      </c>
      <c r="K16" s="121" t="s">
        <v>326</v>
      </c>
      <c r="L16" s="122" t="s">
        <v>349</v>
      </c>
      <c r="M16" s="124">
        <f>M17+M21</f>
        <v>157448.5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311</v>
      </c>
      <c r="K17" s="121" t="s">
        <v>327</v>
      </c>
      <c r="L17" s="122" t="s">
        <v>350</v>
      </c>
      <c r="M17" s="124">
        <v>-3804149.29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107" t="s">
        <v>312</v>
      </c>
      <c r="K18" s="121" t="s">
        <v>339</v>
      </c>
      <c r="L18" s="122" t="s">
        <v>351</v>
      </c>
      <c r="M18" s="124">
        <f>M17</f>
        <v>-3804149.29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313</v>
      </c>
      <c r="K19" s="121" t="s">
        <v>340</v>
      </c>
      <c r="L19" s="122" t="s">
        <v>352</v>
      </c>
      <c r="M19" s="124">
        <f>M18</f>
        <v>-3804149.29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07" t="s">
        <v>119</v>
      </c>
      <c r="K20" s="121" t="s">
        <v>341</v>
      </c>
      <c r="L20" s="122" t="s">
        <v>353</v>
      </c>
      <c r="M20" s="124">
        <f>M19</f>
        <v>-3804149.29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1" t="s">
        <v>342</v>
      </c>
      <c r="L21" s="122" t="s">
        <v>354</v>
      </c>
      <c r="M21" s="124">
        <v>3961597.79</v>
      </c>
      <c r="O21" s="20"/>
      <c r="P21" s="20"/>
      <c r="Q21" s="20"/>
    </row>
    <row r="22" spans="1:17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07" t="s">
        <v>314</v>
      </c>
      <c r="K22" s="121" t="s">
        <v>343</v>
      </c>
      <c r="L22" s="122" t="s">
        <v>355</v>
      </c>
      <c r="M22" s="124">
        <f>M21</f>
        <v>3961597.79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264</v>
      </c>
      <c r="K23" s="121" t="s">
        <v>338</v>
      </c>
      <c r="L23" s="122" t="s">
        <v>356</v>
      </c>
      <c r="M23" s="124">
        <f>M22</f>
        <v>3961597.79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07" t="s">
        <v>134</v>
      </c>
      <c r="K24" s="121" t="s">
        <v>337</v>
      </c>
      <c r="L24" s="122" t="s">
        <v>357</v>
      </c>
      <c r="M24" s="124">
        <f>M23</f>
        <v>3961597.79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197</v>
      </c>
      <c r="K25" s="121" t="s">
        <v>336</v>
      </c>
      <c r="L25" s="122" t="s">
        <v>358</v>
      </c>
      <c r="M25" s="123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07" t="s">
        <v>297</v>
      </c>
      <c r="K26" s="121" t="s">
        <v>335</v>
      </c>
      <c r="L26" s="122" t="s">
        <v>359</v>
      </c>
      <c r="M26" s="123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315</v>
      </c>
      <c r="K27" s="121" t="s">
        <v>334</v>
      </c>
      <c r="L27" s="122" t="s">
        <v>360</v>
      </c>
      <c r="M27" s="123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265</v>
      </c>
      <c r="G28" s="22" t="s">
        <v>119</v>
      </c>
      <c r="H28" s="22" t="s">
        <v>102</v>
      </c>
      <c r="I28" s="22" t="s">
        <v>266</v>
      </c>
      <c r="J28" s="107" t="s">
        <v>316</v>
      </c>
      <c r="K28" s="121" t="s">
        <v>333</v>
      </c>
      <c r="L28" s="122" t="s">
        <v>361</v>
      </c>
      <c r="M28" s="123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134</v>
      </c>
      <c r="E29" s="22" t="s">
        <v>105</v>
      </c>
      <c r="F29" s="22" t="s">
        <v>135</v>
      </c>
      <c r="G29" s="22" t="s">
        <v>119</v>
      </c>
      <c r="H29" s="22" t="s">
        <v>102</v>
      </c>
      <c r="I29" s="22" t="s">
        <v>136</v>
      </c>
      <c r="J29" s="22" t="s">
        <v>317</v>
      </c>
      <c r="K29" s="121" t="s">
        <v>332</v>
      </c>
      <c r="L29" s="122" t="s">
        <v>362</v>
      </c>
      <c r="M29" s="123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134</v>
      </c>
      <c r="E30" s="22" t="s">
        <v>110</v>
      </c>
      <c r="F30" s="22" t="s">
        <v>137</v>
      </c>
      <c r="G30" s="22" t="s">
        <v>119</v>
      </c>
      <c r="H30" s="22" t="s">
        <v>102</v>
      </c>
      <c r="I30" s="22" t="s">
        <v>138</v>
      </c>
      <c r="J30" s="107" t="s">
        <v>294</v>
      </c>
      <c r="K30" s="121" t="s">
        <v>331</v>
      </c>
      <c r="L30" s="122" t="s">
        <v>363</v>
      </c>
      <c r="M30" s="123">
        <v>0</v>
      </c>
      <c r="O30" s="20"/>
      <c r="P30" s="20"/>
      <c r="Q30" s="20"/>
    </row>
    <row r="31" spans="1:17" ht="38.25" x14ac:dyDescent="0.2">
      <c r="A31" s="96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318</v>
      </c>
      <c r="K31" s="121" t="s">
        <v>330</v>
      </c>
      <c r="L31" s="122" t="s">
        <v>364</v>
      </c>
      <c r="M31" s="123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197</v>
      </c>
      <c r="F32" s="22" t="s">
        <v>22</v>
      </c>
      <c r="G32" s="22" t="s">
        <v>101</v>
      </c>
      <c r="H32" s="22" t="s">
        <v>102</v>
      </c>
      <c r="I32" s="22" t="s">
        <v>251</v>
      </c>
      <c r="J32" s="107" t="s">
        <v>319</v>
      </c>
      <c r="K32" s="121" t="s">
        <v>329</v>
      </c>
      <c r="L32" s="122" t="s">
        <v>365</v>
      </c>
      <c r="M32" s="123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320</v>
      </c>
      <c r="K33" s="121" t="s">
        <v>328</v>
      </c>
      <c r="L33" s="122" t="s">
        <v>366</v>
      </c>
      <c r="M33" s="123">
        <v>0</v>
      </c>
      <c r="O33" s="20"/>
      <c r="P33" s="20"/>
      <c r="Q33" s="20"/>
    </row>
    <row r="34" spans="1:17" x14ac:dyDescent="0.2">
      <c r="A34" s="265" t="s">
        <v>133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7"/>
      <c r="M34" s="217">
        <f>M16</f>
        <v>157448.5</v>
      </c>
      <c r="O34" s="20"/>
      <c r="P34" s="20"/>
      <c r="Q34" s="20"/>
    </row>
    <row r="35" spans="1:17" s="3" customFormat="1" ht="12.75" customHeight="1" x14ac:dyDescent="0.2">
      <c r="K35" s="13"/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4"/>
  <sheetViews>
    <sheetView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2.42578125" style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68" t="s">
        <v>398</v>
      </c>
      <c r="J1" s="268"/>
      <c r="K1" s="268"/>
      <c r="L1" s="269"/>
      <c r="M1" s="269"/>
      <c r="N1" s="269"/>
    </row>
    <row r="2" spans="1:18" ht="15.75" x14ac:dyDescent="0.25">
      <c r="E2" s="270" t="s">
        <v>408</v>
      </c>
      <c r="F2" s="270"/>
      <c r="G2" s="270"/>
      <c r="H2" s="270"/>
      <c r="I2" s="270"/>
      <c r="J2" s="270"/>
      <c r="K2" s="270"/>
      <c r="L2" s="271"/>
      <c r="M2" s="271"/>
      <c r="N2" s="271"/>
    </row>
    <row r="3" spans="1:18" ht="15.75" x14ac:dyDescent="0.25">
      <c r="E3" s="15"/>
      <c r="F3" s="136"/>
      <c r="G3" s="136"/>
      <c r="H3" s="269" t="s">
        <v>474</v>
      </c>
      <c r="I3" s="269"/>
      <c r="J3" s="269"/>
      <c r="K3" s="269"/>
      <c r="L3" s="269"/>
      <c r="M3" s="269"/>
      <c r="N3" s="269"/>
    </row>
    <row r="5" spans="1:18" ht="18.75" x14ac:dyDescent="0.3">
      <c r="A5" s="256" t="s">
        <v>455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</row>
    <row r="7" spans="1:18" x14ac:dyDescent="0.2">
      <c r="N7" s="1" t="s">
        <v>75</v>
      </c>
    </row>
    <row r="8" spans="1:18" ht="12.75" customHeight="1" x14ac:dyDescent="0.2">
      <c r="A8" s="282" t="s">
        <v>53</v>
      </c>
      <c r="B8" s="283" t="s">
        <v>89</v>
      </c>
      <c r="C8" s="284"/>
      <c r="D8" s="284"/>
      <c r="E8" s="284"/>
      <c r="F8" s="284"/>
      <c r="G8" s="284"/>
      <c r="H8" s="284"/>
      <c r="I8" s="284"/>
      <c r="J8" s="278" t="s">
        <v>90</v>
      </c>
      <c r="K8" s="279" t="s">
        <v>452</v>
      </c>
      <c r="L8" s="279" t="s">
        <v>453</v>
      </c>
      <c r="M8" s="279" t="s">
        <v>454</v>
      </c>
      <c r="N8" s="285" t="s">
        <v>274</v>
      </c>
    </row>
    <row r="9" spans="1:18" ht="163.5" x14ac:dyDescent="0.2">
      <c r="A9" s="282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78"/>
      <c r="K9" s="280"/>
      <c r="L9" s="280"/>
      <c r="M9" s="280"/>
      <c r="N9" s="286"/>
    </row>
    <row r="10" spans="1:18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3" t="s">
        <v>99</v>
      </c>
      <c r="K11" s="27">
        <f>K12+K13+K19+K20+K21+K25+K26+K27+K31+K32+K29+K30+K33</f>
        <v>5835.8530000000001</v>
      </c>
      <c r="L11" s="27">
        <f>L12+L13+L19+L20+L21+L25+L26+L27+L31+L32+L29+L30+L33+L28</f>
        <v>5835.8530000000001</v>
      </c>
      <c r="M11" s="27">
        <f>M12+M13+M19+M20+M21+M25+M26+M27+M31+M32+M29+M30+M33+M28</f>
        <v>1234.8865699999997</v>
      </c>
      <c r="N11" s="82">
        <f>M11/L11*100</f>
        <v>21.160343997698362</v>
      </c>
      <c r="P11" s="20">
        <f>M11*1000</f>
        <v>1234886.5699999996</v>
      </c>
      <c r="Q11" s="20">
        <f>P11-2936425.64</f>
        <v>-1701539.0700000005</v>
      </c>
    </row>
    <row r="12" spans="1:18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34" t="s">
        <v>12</v>
      </c>
      <c r="K12" s="25">
        <v>350</v>
      </c>
      <c r="L12" s="25">
        <v>350</v>
      </c>
      <c r="M12" s="25">
        <f>81.68925+(-0.13258)+0.52481</f>
        <v>82.081479999999999</v>
      </c>
      <c r="N12" s="83">
        <f>M12/L12*100</f>
        <v>23.45185142857143</v>
      </c>
      <c r="P12" s="20">
        <f t="shared" ref="P12:P50" si="0">M12*1000</f>
        <v>82081.48</v>
      </c>
      <c r="Q12" s="20"/>
      <c r="R12" s="20"/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25">
        <f>SUM(K15:K18)</f>
        <v>726.1</v>
      </c>
      <c r="L13" s="68">
        <f>SUM(L15:L18)</f>
        <v>726.1</v>
      </c>
      <c r="M13" s="68">
        <f t="shared" ref="M13" si="1">SUM(M15:M18)</f>
        <v>195.22167000000002</v>
      </c>
      <c r="N13" s="83">
        <f t="shared" ref="N13:N50" si="2">M13/L13*100</f>
        <v>26.886333838314286</v>
      </c>
      <c r="P13" s="20">
        <f t="shared" si="0"/>
        <v>195221.67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0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343.9</v>
      </c>
      <c r="L15" s="25">
        <v>343.9</v>
      </c>
      <c r="M15" s="25">
        <v>100.35948999999999</v>
      </c>
      <c r="N15" s="83">
        <f t="shared" si="2"/>
        <v>29.182753707473104</v>
      </c>
      <c r="P15" s="20">
        <f t="shared" si="0"/>
        <v>100359.48999999999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2.4</v>
      </c>
      <c r="L16" s="25">
        <v>2.4</v>
      </c>
      <c r="M16" s="25">
        <v>0.41189999999999999</v>
      </c>
      <c r="N16" s="83">
        <f t="shared" si="2"/>
        <v>17.162500000000001</v>
      </c>
      <c r="P16" s="20">
        <f t="shared" si="0"/>
        <v>411.9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425.2</v>
      </c>
      <c r="L17" s="25">
        <v>425.2</v>
      </c>
      <c r="M17" s="25">
        <v>107.31082000000001</v>
      </c>
      <c r="N17" s="83">
        <f t="shared" si="2"/>
        <v>25.237728127939796</v>
      </c>
      <c r="P17" s="20">
        <f t="shared" si="0"/>
        <v>107310.82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-45.4</v>
      </c>
      <c r="L18" s="25">
        <v>-45.4</v>
      </c>
      <c r="M18" s="25">
        <v>-12.86054</v>
      </c>
      <c r="N18" s="83">
        <f t="shared" si="2"/>
        <v>28.327180616740087</v>
      </c>
      <c r="P18" s="20">
        <f t="shared" si="0"/>
        <v>-12860.54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1.2</v>
      </c>
      <c r="M19" s="25">
        <v>324.95740999999998</v>
      </c>
      <c r="N19" s="83">
        <f t="shared" si="2"/>
        <v>27079.784166666668</v>
      </c>
      <c r="P19" s="20">
        <f>M19*1000</f>
        <v>324957.40999999997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350</v>
      </c>
      <c r="L20" s="25">
        <v>350</v>
      </c>
      <c r="M20" s="25">
        <v>4.0549400000000002</v>
      </c>
      <c r="N20" s="83">
        <f t="shared" si="2"/>
        <v>1.1585542857142856</v>
      </c>
      <c r="P20" s="20">
        <f t="shared" si="0"/>
        <v>4054.94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3450</v>
      </c>
      <c r="L21" s="25">
        <f>SUM(L23:L24)</f>
        <v>3450</v>
      </c>
      <c r="M21" s="25">
        <f>SUM(M23:M24)</f>
        <v>285.32709</v>
      </c>
      <c r="N21" s="83">
        <f t="shared" si="2"/>
        <v>8.2703504347826087</v>
      </c>
      <c r="P21" s="20">
        <f t="shared" si="0"/>
        <v>285327.09000000003</v>
      </c>
      <c r="Q21" s="20"/>
      <c r="R21" s="20"/>
    </row>
    <row r="22" spans="1:18" ht="14.25" customHeight="1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9" t="s">
        <v>111</v>
      </c>
      <c r="K22" s="25"/>
      <c r="L22" s="29"/>
      <c r="M22" s="25"/>
      <c r="N22" s="83"/>
      <c r="P22" s="20">
        <f t="shared" si="0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292</v>
      </c>
      <c r="K23" s="26">
        <v>2500</v>
      </c>
      <c r="L23" s="26">
        <v>2500</v>
      </c>
      <c r="M23" s="26">
        <v>210.27600000000001</v>
      </c>
      <c r="N23" s="83">
        <f t="shared" si="2"/>
        <v>8.4110399999999998</v>
      </c>
      <c r="P23" s="20">
        <f t="shared" si="0"/>
        <v>210276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293</v>
      </c>
      <c r="K24" s="26">
        <v>950</v>
      </c>
      <c r="L24" s="26">
        <v>950</v>
      </c>
      <c r="M24" s="26">
        <v>75.051090000000002</v>
      </c>
      <c r="N24" s="83">
        <f t="shared" si="2"/>
        <v>7.900114736842105</v>
      </c>
      <c r="P24" s="20">
        <f t="shared" si="0"/>
        <v>75051.09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5</v>
      </c>
      <c r="M25" s="25">
        <v>1.1000000000000001</v>
      </c>
      <c r="N25" s="83">
        <f t="shared" si="2"/>
        <v>22.000000000000004</v>
      </c>
      <c r="P25" s="20">
        <f t="shared" si="0"/>
        <v>1100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480</v>
      </c>
      <c r="L26" s="26">
        <v>480</v>
      </c>
      <c r="M26" s="26">
        <v>212.24744999999999</v>
      </c>
      <c r="N26" s="83">
        <f t="shared" si="2"/>
        <v>44.218218749999998</v>
      </c>
      <c r="P26" s="20">
        <f t="shared" si="0"/>
        <v>212247.44999999998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100</v>
      </c>
      <c r="M27" s="26">
        <v>53.895659999999999</v>
      </c>
      <c r="N27" s="83">
        <f t="shared" si="2"/>
        <v>53.895659999999999</v>
      </c>
      <c r="P27" s="20">
        <f t="shared" si="0"/>
        <v>53895.659999999996</v>
      </c>
      <c r="Q27" s="20"/>
      <c r="R27" s="20"/>
    </row>
    <row r="28" spans="1:18" ht="40.5" customHeight="1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459</v>
      </c>
      <c r="G28" s="22" t="s">
        <v>119</v>
      </c>
      <c r="H28" s="22" t="s">
        <v>102</v>
      </c>
      <c r="I28" s="22" t="s">
        <v>266</v>
      </c>
      <c r="J28" s="19" t="s">
        <v>460</v>
      </c>
      <c r="K28" s="78">
        <v>0</v>
      </c>
      <c r="L28" s="26">
        <v>0</v>
      </c>
      <c r="M28" s="26">
        <v>14.603059999999999</v>
      </c>
      <c r="N28" s="83">
        <v>0</v>
      </c>
      <c r="P28" s="20"/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264</v>
      </c>
      <c r="E29" s="22" t="s">
        <v>105</v>
      </c>
      <c r="F29" s="22" t="s">
        <v>265</v>
      </c>
      <c r="G29" s="22" t="s">
        <v>119</v>
      </c>
      <c r="H29" s="22" t="s">
        <v>102</v>
      </c>
      <c r="I29" s="22" t="s">
        <v>266</v>
      </c>
      <c r="J29" s="19" t="s">
        <v>263</v>
      </c>
      <c r="K29" s="78">
        <v>373.553</v>
      </c>
      <c r="L29" s="26">
        <v>373.553</v>
      </c>
      <c r="M29" s="26">
        <v>57.299909999999997</v>
      </c>
      <c r="N29" s="83">
        <f t="shared" si="2"/>
        <v>15.339164723613516</v>
      </c>
      <c r="P29" s="20">
        <f t="shared" si="0"/>
        <v>57299.909999999996</v>
      </c>
      <c r="Q29" s="20"/>
      <c r="R29" s="20"/>
    </row>
    <row r="30" spans="1:18" ht="25.5" x14ac:dyDescent="0.2">
      <c r="A30" s="21">
        <v>12</v>
      </c>
      <c r="B30" s="21">
        <v>807</v>
      </c>
      <c r="C30" s="22" t="s">
        <v>100</v>
      </c>
      <c r="D30" s="22" t="s">
        <v>315</v>
      </c>
      <c r="E30" s="22" t="s">
        <v>104</v>
      </c>
      <c r="F30" s="22" t="s">
        <v>386</v>
      </c>
      <c r="G30" s="22" t="s">
        <v>119</v>
      </c>
      <c r="H30" s="22" t="s">
        <v>102</v>
      </c>
      <c r="I30" s="22" t="s">
        <v>387</v>
      </c>
      <c r="J30" s="19" t="s">
        <v>388</v>
      </c>
      <c r="K30" s="26">
        <v>0</v>
      </c>
      <c r="L30" s="26">
        <v>0</v>
      </c>
      <c r="M30" s="26">
        <v>0</v>
      </c>
      <c r="N30" s="83">
        <v>0</v>
      </c>
      <c r="P30" s="20">
        <f t="shared" si="0"/>
        <v>0</v>
      </c>
      <c r="Q30" s="20"/>
      <c r="R30" s="20"/>
    </row>
    <row r="31" spans="1:18" ht="101.25" customHeight="1" x14ac:dyDescent="0.2">
      <c r="A31" s="21">
        <v>13</v>
      </c>
      <c r="B31" s="21">
        <v>807</v>
      </c>
      <c r="C31" s="22" t="s">
        <v>100</v>
      </c>
      <c r="D31" s="22" t="s">
        <v>134</v>
      </c>
      <c r="E31" s="22" t="s">
        <v>105</v>
      </c>
      <c r="F31" s="22" t="s">
        <v>135</v>
      </c>
      <c r="G31" s="22" t="s">
        <v>119</v>
      </c>
      <c r="H31" s="22" t="s">
        <v>102</v>
      </c>
      <c r="I31" s="22" t="s">
        <v>136</v>
      </c>
      <c r="J31" s="19" t="s">
        <v>87</v>
      </c>
      <c r="K31" s="26">
        <v>0</v>
      </c>
      <c r="L31" s="26">
        <v>0</v>
      </c>
      <c r="M31" s="26">
        <v>0</v>
      </c>
      <c r="N31" s="83">
        <v>0</v>
      </c>
      <c r="P31" s="20">
        <f t="shared" si="0"/>
        <v>0</v>
      </c>
      <c r="Q31" s="20"/>
      <c r="R31" s="20"/>
    </row>
    <row r="32" spans="1:18" ht="65.25" customHeight="1" x14ac:dyDescent="0.2">
      <c r="A32" s="21">
        <v>14</v>
      </c>
      <c r="B32" s="21">
        <v>807</v>
      </c>
      <c r="C32" s="22" t="s">
        <v>100</v>
      </c>
      <c r="D32" s="22" t="s">
        <v>134</v>
      </c>
      <c r="E32" s="22" t="s">
        <v>110</v>
      </c>
      <c r="F32" s="22" t="s">
        <v>137</v>
      </c>
      <c r="G32" s="22" t="s">
        <v>119</v>
      </c>
      <c r="H32" s="22" t="s">
        <v>102</v>
      </c>
      <c r="I32" s="22" t="s">
        <v>138</v>
      </c>
      <c r="J32" s="19" t="s">
        <v>86</v>
      </c>
      <c r="K32" s="26">
        <v>0</v>
      </c>
      <c r="L32" s="26">
        <v>0</v>
      </c>
      <c r="M32" s="26">
        <v>0</v>
      </c>
      <c r="N32" s="83">
        <v>0</v>
      </c>
      <c r="P32" s="20">
        <f t="shared" si="0"/>
        <v>0</v>
      </c>
      <c r="Q32" s="20"/>
      <c r="R32" s="20"/>
    </row>
    <row r="33" spans="1:18" ht="65.25" customHeight="1" x14ac:dyDescent="0.2">
      <c r="A33" s="21">
        <v>15</v>
      </c>
      <c r="B33" s="21">
        <v>807</v>
      </c>
      <c r="C33" s="22" t="s">
        <v>100</v>
      </c>
      <c r="D33" s="22" t="s">
        <v>297</v>
      </c>
      <c r="E33" s="22" t="s">
        <v>105</v>
      </c>
      <c r="F33" s="22" t="s">
        <v>123</v>
      </c>
      <c r="G33" s="22" t="s">
        <v>105</v>
      </c>
      <c r="H33" s="22" t="s">
        <v>102</v>
      </c>
      <c r="I33" s="22" t="s">
        <v>461</v>
      </c>
      <c r="J33" s="19" t="s">
        <v>462</v>
      </c>
      <c r="K33" s="26">
        <v>0</v>
      </c>
      <c r="L33" s="26">
        <v>0</v>
      </c>
      <c r="M33" s="26">
        <v>4.0979000000000001</v>
      </c>
      <c r="N33" s="83">
        <v>0</v>
      </c>
      <c r="P33" s="20"/>
      <c r="Q33" s="20"/>
      <c r="R33" s="20"/>
    </row>
    <row r="34" spans="1:18" x14ac:dyDescent="0.2">
      <c r="A34" s="96">
        <v>16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6720.7849999999999</v>
      </c>
      <c r="L34" s="77">
        <f t="shared" ref="L34:M34" si="3">L35+L39+L43</f>
        <v>7045.0347200000006</v>
      </c>
      <c r="M34" s="77">
        <f t="shared" si="3"/>
        <v>2569.2627199999997</v>
      </c>
      <c r="N34" s="83">
        <f t="shared" si="2"/>
        <v>36.469127862580635</v>
      </c>
      <c r="P34" s="20">
        <f t="shared" si="0"/>
        <v>2569262.7199999997</v>
      </c>
      <c r="Q34" s="20"/>
      <c r="R34" s="20"/>
    </row>
    <row r="35" spans="1:18" ht="26.25" customHeight="1" x14ac:dyDescent="0.2">
      <c r="A35" s="21">
        <v>17</v>
      </c>
      <c r="B35" s="22" t="s">
        <v>129</v>
      </c>
      <c r="C35" s="22" t="s">
        <v>127</v>
      </c>
      <c r="D35" s="22" t="s">
        <v>105</v>
      </c>
      <c r="E35" s="22" t="s">
        <v>197</v>
      </c>
      <c r="F35" s="22" t="s">
        <v>22</v>
      </c>
      <c r="G35" s="22" t="s">
        <v>101</v>
      </c>
      <c r="H35" s="22" t="s">
        <v>102</v>
      </c>
      <c r="I35" s="22" t="s">
        <v>251</v>
      </c>
      <c r="J35" s="19" t="s">
        <v>252</v>
      </c>
      <c r="K35" s="68">
        <f>SUM(K37:K38)</f>
        <v>2364.3310000000001</v>
      </c>
      <c r="L35" s="68">
        <f>SUM(L37:L38)</f>
        <v>2364.3310000000001</v>
      </c>
      <c r="M35" s="68">
        <f t="shared" ref="M35" si="4">SUM(M37:M38)</f>
        <v>1406.1</v>
      </c>
      <c r="N35" s="83">
        <f t="shared" si="2"/>
        <v>59.471368433607644</v>
      </c>
      <c r="P35" s="20">
        <f t="shared" si="0"/>
        <v>1406100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0"/>
        <v>0</v>
      </c>
      <c r="Q36" s="20"/>
      <c r="R36" s="20"/>
    </row>
    <row r="37" spans="1:18" ht="229.5" x14ac:dyDescent="0.2">
      <c r="A37" s="22" t="s">
        <v>441</v>
      </c>
      <c r="B37" s="22" t="s">
        <v>129</v>
      </c>
      <c r="C37" s="22" t="s">
        <v>127</v>
      </c>
      <c r="D37" s="22" t="s">
        <v>105</v>
      </c>
      <c r="E37" s="22" t="s">
        <v>197</v>
      </c>
      <c r="F37" s="22" t="s">
        <v>130</v>
      </c>
      <c r="G37" s="22" t="s">
        <v>119</v>
      </c>
      <c r="H37" s="22" t="s">
        <v>234</v>
      </c>
      <c r="I37" s="22" t="s">
        <v>251</v>
      </c>
      <c r="J37" s="19" t="s">
        <v>288</v>
      </c>
      <c r="K37" s="78">
        <v>1191.4190000000001</v>
      </c>
      <c r="L37" s="26">
        <v>1191.4190000000001</v>
      </c>
      <c r="M37" s="26">
        <v>297.89999999999998</v>
      </c>
      <c r="N37" s="83">
        <f t="shared" si="2"/>
        <v>25.00379799214214</v>
      </c>
      <c r="P37" s="20">
        <f t="shared" si="0"/>
        <v>297900</v>
      </c>
      <c r="Q37" s="20"/>
      <c r="R37" s="20"/>
    </row>
    <row r="38" spans="1:18" ht="164.25" customHeight="1" x14ac:dyDescent="0.2">
      <c r="A38" s="22" t="s">
        <v>463</v>
      </c>
      <c r="B38" s="22" t="s">
        <v>129</v>
      </c>
      <c r="C38" s="22" t="s">
        <v>127</v>
      </c>
      <c r="D38" s="22" t="s">
        <v>105</v>
      </c>
      <c r="E38" s="22" t="s">
        <v>197</v>
      </c>
      <c r="F38" s="22" t="s">
        <v>130</v>
      </c>
      <c r="G38" s="22" t="s">
        <v>119</v>
      </c>
      <c r="H38" s="22" t="s">
        <v>372</v>
      </c>
      <c r="I38" s="22" t="s">
        <v>251</v>
      </c>
      <c r="J38" s="19" t="s">
        <v>287</v>
      </c>
      <c r="K38" s="78">
        <v>1172.912</v>
      </c>
      <c r="L38" s="26">
        <v>1172.912</v>
      </c>
      <c r="M38" s="26">
        <v>1108.2</v>
      </c>
      <c r="N38" s="83">
        <f t="shared" si="2"/>
        <v>94.482791547874015</v>
      </c>
      <c r="P38" s="20"/>
      <c r="Q38" s="20"/>
      <c r="R38" s="20"/>
    </row>
    <row r="39" spans="1:18" s="3" customFormat="1" ht="25.5" x14ac:dyDescent="0.2">
      <c r="A39" s="22" t="s">
        <v>316</v>
      </c>
      <c r="B39" s="22" t="s">
        <v>22</v>
      </c>
      <c r="C39" s="22" t="s">
        <v>127</v>
      </c>
      <c r="D39" s="22" t="s">
        <v>105</v>
      </c>
      <c r="E39" s="22" t="s">
        <v>198</v>
      </c>
      <c r="F39" s="22" t="s">
        <v>22</v>
      </c>
      <c r="G39" s="22" t="s">
        <v>101</v>
      </c>
      <c r="H39" s="22" t="s">
        <v>102</v>
      </c>
      <c r="I39" s="22" t="s">
        <v>251</v>
      </c>
      <c r="J39" s="19" t="s">
        <v>253</v>
      </c>
      <c r="K39" s="26">
        <f>SUM(K41:K42)</f>
        <v>457.86699999999996</v>
      </c>
      <c r="L39" s="26">
        <f t="shared" ref="L39:M39" si="5">SUM(L41:L42)</f>
        <v>537.37099999999998</v>
      </c>
      <c r="M39" s="26">
        <f t="shared" si="5"/>
        <v>139</v>
      </c>
      <c r="N39" s="83">
        <f t="shared" si="2"/>
        <v>25.86667311782735</v>
      </c>
      <c r="P39" s="20">
        <f t="shared" si="0"/>
        <v>139000</v>
      </c>
      <c r="Q39" s="20"/>
      <c r="R39" s="20"/>
    </row>
    <row r="40" spans="1:18" s="3" customFormat="1" x14ac:dyDescent="0.2">
      <c r="A40" s="97"/>
      <c r="B40" s="135"/>
      <c r="C40" s="135"/>
      <c r="D40" s="135"/>
      <c r="E40" s="135"/>
      <c r="F40" s="135"/>
      <c r="G40" s="135"/>
      <c r="H40" s="135"/>
      <c r="I40" s="135"/>
      <c r="J40" s="19" t="s">
        <v>111</v>
      </c>
      <c r="K40" s="26"/>
      <c r="L40" s="78"/>
      <c r="M40" s="78"/>
      <c r="N40" s="83"/>
      <c r="P40" s="20">
        <f t="shared" si="0"/>
        <v>0</v>
      </c>
      <c r="Q40" s="20"/>
      <c r="R40" s="20"/>
    </row>
    <row r="41" spans="1:18" s="3" customFormat="1" ht="51.75" customHeight="1" x14ac:dyDescent="0.2">
      <c r="A41" s="22" t="s">
        <v>442</v>
      </c>
      <c r="B41" s="22" t="s">
        <v>129</v>
      </c>
      <c r="C41" s="22" t="s">
        <v>127</v>
      </c>
      <c r="D41" s="22" t="s">
        <v>105</v>
      </c>
      <c r="E41" s="22" t="s">
        <v>295</v>
      </c>
      <c r="F41" s="22" t="s">
        <v>296</v>
      </c>
      <c r="G41" s="22" t="s">
        <v>119</v>
      </c>
      <c r="H41" s="22" t="s">
        <v>102</v>
      </c>
      <c r="I41" s="22" t="s">
        <v>251</v>
      </c>
      <c r="J41" s="19" t="s">
        <v>289</v>
      </c>
      <c r="K41" s="26">
        <v>443.13299999999998</v>
      </c>
      <c r="L41" s="26">
        <v>522.63699999999994</v>
      </c>
      <c r="M41" s="26">
        <v>130.5</v>
      </c>
      <c r="N41" s="83">
        <f>M41/L41*100</f>
        <v>24.969529520489367</v>
      </c>
      <c r="P41" s="20">
        <f t="shared" si="0"/>
        <v>130500</v>
      </c>
      <c r="Q41" s="20"/>
      <c r="R41" s="20"/>
    </row>
    <row r="42" spans="1:18" s="3" customFormat="1" ht="63.75" x14ac:dyDescent="0.2">
      <c r="A42" s="22" t="s">
        <v>464</v>
      </c>
      <c r="B42" s="22" t="s">
        <v>129</v>
      </c>
      <c r="C42" s="22" t="s">
        <v>127</v>
      </c>
      <c r="D42" s="22" t="s">
        <v>105</v>
      </c>
      <c r="E42" s="22" t="s">
        <v>198</v>
      </c>
      <c r="F42" s="22" t="s">
        <v>132</v>
      </c>
      <c r="G42" s="22" t="s">
        <v>119</v>
      </c>
      <c r="H42" s="22" t="s">
        <v>166</v>
      </c>
      <c r="I42" s="22" t="s">
        <v>251</v>
      </c>
      <c r="J42" s="19" t="s">
        <v>385</v>
      </c>
      <c r="K42" s="26">
        <v>14.734</v>
      </c>
      <c r="L42" s="26">
        <v>14.734</v>
      </c>
      <c r="M42" s="26">
        <v>8.5</v>
      </c>
      <c r="N42" s="83">
        <f t="shared" si="2"/>
        <v>57.689697298764763</v>
      </c>
      <c r="P42" s="20">
        <f t="shared" si="0"/>
        <v>8500</v>
      </c>
      <c r="Q42" s="20"/>
      <c r="R42" s="20"/>
    </row>
    <row r="43" spans="1:18" x14ac:dyDescent="0.2">
      <c r="A43" s="21">
        <v>19</v>
      </c>
      <c r="B43" s="22" t="s">
        <v>22</v>
      </c>
      <c r="C43" s="22" t="s">
        <v>127</v>
      </c>
      <c r="D43" s="22" t="s">
        <v>105</v>
      </c>
      <c r="E43" s="22" t="s">
        <v>200</v>
      </c>
      <c r="F43" s="22" t="s">
        <v>22</v>
      </c>
      <c r="G43" s="22" t="s">
        <v>101</v>
      </c>
      <c r="H43" s="22" t="s">
        <v>102</v>
      </c>
      <c r="I43" s="22" t="s">
        <v>251</v>
      </c>
      <c r="J43" s="19" t="s">
        <v>56</v>
      </c>
      <c r="K43" s="26">
        <f>SUM(K45:K49)</f>
        <v>3898.587</v>
      </c>
      <c r="L43" s="26">
        <f>SUM(L45:L49)</f>
        <v>4143.3327200000003</v>
      </c>
      <c r="M43" s="26">
        <f>SUM(M45:M49)</f>
        <v>1024.16272</v>
      </c>
      <c r="N43" s="26">
        <f>SUM(N45:N49)</f>
        <v>333.33149171270719</v>
      </c>
      <c r="O43" s="3"/>
      <c r="P43" s="20">
        <f t="shared" si="0"/>
        <v>1024162.7200000001</v>
      </c>
      <c r="Q43" s="20"/>
      <c r="R43" s="20"/>
    </row>
    <row r="44" spans="1:18" x14ac:dyDescent="0.2">
      <c r="A44" s="97"/>
      <c r="B44" s="135"/>
      <c r="C44" s="135"/>
      <c r="D44" s="135"/>
      <c r="E44" s="135"/>
      <c r="F44" s="135"/>
      <c r="G44" s="135"/>
      <c r="H44" s="135"/>
      <c r="I44" s="135"/>
      <c r="J44" s="19" t="s">
        <v>111</v>
      </c>
      <c r="K44" s="26"/>
      <c r="L44" s="26"/>
      <c r="M44" s="26"/>
      <c r="N44" s="26"/>
      <c r="O44" s="3"/>
      <c r="P44" s="20">
        <f t="shared" si="0"/>
        <v>0</v>
      </c>
      <c r="Q44" s="20"/>
      <c r="R44" s="20"/>
    </row>
    <row r="45" spans="1:18" ht="49.5" customHeight="1" x14ac:dyDescent="0.2">
      <c r="A45" s="144" t="s">
        <v>465</v>
      </c>
      <c r="B45" s="22" t="s">
        <v>129</v>
      </c>
      <c r="C45" s="22" t="s">
        <v>127</v>
      </c>
      <c r="D45" s="22" t="s">
        <v>105</v>
      </c>
      <c r="E45" s="22" t="s">
        <v>199</v>
      </c>
      <c r="F45" s="22" t="s">
        <v>131</v>
      </c>
      <c r="G45" s="22" t="s">
        <v>119</v>
      </c>
      <c r="H45" s="22" t="s">
        <v>443</v>
      </c>
      <c r="I45" s="22" t="s">
        <v>251</v>
      </c>
      <c r="J45" s="19" t="s">
        <v>444</v>
      </c>
      <c r="K45" s="26">
        <v>0</v>
      </c>
      <c r="L45" s="26">
        <v>226.64572000000001</v>
      </c>
      <c r="M45" s="26">
        <v>226.64572000000001</v>
      </c>
      <c r="N45" s="83">
        <f t="shared" ref="N45:N49" si="6">M45/L45*100</f>
        <v>100</v>
      </c>
      <c r="O45" s="3"/>
      <c r="P45" s="20"/>
      <c r="Q45" s="20"/>
      <c r="R45" s="20"/>
    </row>
    <row r="46" spans="1:18" ht="119.25" customHeight="1" x14ac:dyDescent="0.2">
      <c r="A46" s="144" t="s">
        <v>466</v>
      </c>
      <c r="B46" s="21">
        <v>807</v>
      </c>
      <c r="C46" s="21">
        <v>2</v>
      </c>
      <c r="D46" s="22" t="s">
        <v>105</v>
      </c>
      <c r="E46" s="21">
        <v>49</v>
      </c>
      <c r="F46" s="21">
        <v>999</v>
      </c>
      <c r="G46" s="21">
        <v>10</v>
      </c>
      <c r="H46" s="21">
        <v>9235</v>
      </c>
      <c r="I46" s="21">
        <v>150</v>
      </c>
      <c r="J46" s="19" t="s">
        <v>419</v>
      </c>
      <c r="K46" s="26">
        <v>0</v>
      </c>
      <c r="L46" s="26">
        <v>18.100000000000001</v>
      </c>
      <c r="M46" s="26">
        <v>6.0330000000000004</v>
      </c>
      <c r="N46" s="83">
        <f t="shared" ref="N46" si="7">M46/L46*100</f>
        <v>33.331491712707184</v>
      </c>
      <c r="O46" s="3"/>
      <c r="P46" s="20"/>
      <c r="Q46" s="20"/>
      <c r="R46" s="20"/>
    </row>
    <row r="47" spans="1:18" s="3" customFormat="1" ht="39.75" customHeight="1" x14ac:dyDescent="0.2">
      <c r="A47" s="144" t="s">
        <v>467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9179</v>
      </c>
      <c r="I47" s="21">
        <v>150</v>
      </c>
      <c r="J47" s="19" t="s">
        <v>425</v>
      </c>
      <c r="K47" s="26">
        <v>343.98399999999998</v>
      </c>
      <c r="L47" s="26">
        <v>343.98399999999998</v>
      </c>
      <c r="M47" s="26">
        <v>343.98399999999998</v>
      </c>
      <c r="N47" s="83">
        <f t="shared" si="6"/>
        <v>100</v>
      </c>
      <c r="P47" s="20"/>
    </row>
    <row r="48" spans="1:18" s="3" customFormat="1" ht="167.25" customHeight="1" x14ac:dyDescent="0.2">
      <c r="A48" s="144" t="s">
        <v>468</v>
      </c>
      <c r="B48" s="22" t="s">
        <v>129</v>
      </c>
      <c r="C48" s="22" t="s">
        <v>127</v>
      </c>
      <c r="D48" s="22" t="s">
        <v>105</v>
      </c>
      <c r="E48" s="22" t="s">
        <v>199</v>
      </c>
      <c r="F48" s="22" t="s">
        <v>131</v>
      </c>
      <c r="G48" s="22" t="s">
        <v>119</v>
      </c>
      <c r="H48" s="22" t="s">
        <v>201</v>
      </c>
      <c r="I48" s="22" t="s">
        <v>251</v>
      </c>
      <c r="J48" s="19" t="s">
        <v>291</v>
      </c>
      <c r="K48" s="78">
        <v>3107.1030000000001</v>
      </c>
      <c r="L48" s="26">
        <v>3107.1030000000001</v>
      </c>
      <c r="M48" s="26">
        <v>0</v>
      </c>
      <c r="N48" s="83">
        <f t="shared" si="6"/>
        <v>0</v>
      </c>
      <c r="P48" s="20"/>
    </row>
    <row r="49" spans="1:16" s="3" customFormat="1" ht="117" customHeight="1" x14ac:dyDescent="0.2">
      <c r="A49" s="24" t="s">
        <v>469</v>
      </c>
      <c r="B49" s="22" t="s">
        <v>129</v>
      </c>
      <c r="C49" s="22" t="s">
        <v>127</v>
      </c>
      <c r="D49" s="22" t="s">
        <v>105</v>
      </c>
      <c r="E49" s="22" t="s">
        <v>199</v>
      </c>
      <c r="F49" s="22" t="s">
        <v>131</v>
      </c>
      <c r="G49" s="22" t="s">
        <v>119</v>
      </c>
      <c r="H49" s="22" t="s">
        <v>184</v>
      </c>
      <c r="I49" s="22" t="s">
        <v>251</v>
      </c>
      <c r="J49" s="19" t="s">
        <v>424</v>
      </c>
      <c r="K49" s="78">
        <v>447.5</v>
      </c>
      <c r="L49" s="78">
        <v>447.5</v>
      </c>
      <c r="M49" s="26">
        <v>447.5</v>
      </c>
      <c r="N49" s="83">
        <f t="shared" si="6"/>
        <v>100</v>
      </c>
      <c r="O49" s="1"/>
      <c r="P49" s="20">
        <f>M49*1000</f>
        <v>447500</v>
      </c>
    </row>
    <row r="50" spans="1:16" x14ac:dyDescent="0.2">
      <c r="A50" s="281" t="s">
        <v>133</v>
      </c>
      <c r="B50" s="281"/>
      <c r="C50" s="281"/>
      <c r="D50" s="281"/>
      <c r="E50" s="281"/>
      <c r="F50" s="281"/>
      <c r="G50" s="281"/>
      <c r="H50" s="281"/>
      <c r="I50" s="281"/>
      <c r="J50" s="281"/>
      <c r="K50" s="98">
        <f>K34+K11</f>
        <v>12556.637999999999</v>
      </c>
      <c r="L50" s="98">
        <f>L34+L11</f>
        <v>12880.887720000001</v>
      </c>
      <c r="M50" s="98">
        <f>M34+M11</f>
        <v>3804.1492899999994</v>
      </c>
      <c r="N50" s="111">
        <f t="shared" si="2"/>
        <v>29.533285070821186</v>
      </c>
      <c r="P50" s="20">
        <f t="shared" si="0"/>
        <v>3804149.2899999996</v>
      </c>
    </row>
    <row r="53" spans="1:16" x14ac:dyDescent="0.2">
      <c r="K53" s="20">
        <f>K50*1000</f>
        <v>12556637.999999998</v>
      </c>
      <c r="L53" s="20">
        <f t="shared" ref="L53:M53" si="8">L50*1000</f>
        <v>12880887.720000001</v>
      </c>
      <c r="M53" s="20">
        <f t="shared" si="8"/>
        <v>3804149.2899999996</v>
      </c>
    </row>
    <row r="54" spans="1:16" x14ac:dyDescent="0.2">
      <c r="L54" s="20">
        <f>L53-15563828</f>
        <v>-2682940.2799999993</v>
      </c>
      <c r="M54" s="20">
        <f>M53-15520032.62</f>
        <v>-11715883.33</v>
      </c>
    </row>
  </sheetData>
  <mergeCells count="12">
    <mergeCell ref="A50:J50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50"/>
  <sheetViews>
    <sheetView view="pageBreakPreview" zoomScale="80" zoomScaleNormal="98" zoomScaleSheetLayoutView="80" workbookViewId="0">
      <selection activeCell="A2" sqref="A2:J2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8" width="14.285156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287" t="s">
        <v>399</v>
      </c>
      <c r="F1" s="287"/>
      <c r="G1" s="288"/>
      <c r="H1" s="288"/>
      <c r="I1" s="288"/>
      <c r="J1" s="288"/>
    </row>
    <row r="2" spans="1:14" ht="18" customHeight="1" x14ac:dyDescent="0.25">
      <c r="A2" s="269" t="s">
        <v>438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4" ht="15.75" customHeight="1" x14ac:dyDescent="0.25">
      <c r="A3" s="15"/>
      <c r="B3" s="136"/>
      <c r="C3" s="136"/>
      <c r="D3" s="288" t="s">
        <v>475</v>
      </c>
      <c r="E3" s="288"/>
      <c r="F3" s="288"/>
      <c r="G3" s="288"/>
      <c r="H3" s="288"/>
      <c r="I3" s="288"/>
      <c r="J3" s="288"/>
      <c r="K3" s="288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289" t="s">
        <v>457</v>
      </c>
      <c r="B5" s="289"/>
      <c r="C5" s="289"/>
      <c r="D5" s="289"/>
      <c r="E5" s="289"/>
      <c r="F5" s="289"/>
      <c r="G5" s="289"/>
      <c r="H5" s="289"/>
      <c r="I5" s="289"/>
      <c r="J5" s="289"/>
    </row>
    <row r="6" spans="1:14" ht="18.75" x14ac:dyDescent="0.3">
      <c r="B6" s="209"/>
      <c r="C6" s="209"/>
      <c r="D6" s="209"/>
      <c r="E6" s="209"/>
      <c r="F6" s="209"/>
      <c r="G6" s="209"/>
      <c r="H6" s="212"/>
      <c r="I6" s="212"/>
      <c r="J6" s="212"/>
    </row>
    <row r="7" spans="1:14" ht="13.5" thickBot="1" x14ac:dyDescent="0.25"/>
    <row r="8" spans="1:14" ht="66.75" customHeight="1" thickBot="1" x14ac:dyDescent="0.25">
      <c r="A8" s="210" t="s">
        <v>53</v>
      </c>
      <c r="B8" s="211" t="s">
        <v>13</v>
      </c>
      <c r="C8" s="211" t="s">
        <v>15</v>
      </c>
      <c r="D8" s="211" t="s">
        <v>16</v>
      </c>
      <c r="E8" s="211" t="s">
        <v>14</v>
      </c>
      <c r="F8" s="145" t="s">
        <v>452</v>
      </c>
      <c r="G8" s="112" t="s">
        <v>453</v>
      </c>
      <c r="H8" s="146" t="s">
        <v>454</v>
      </c>
      <c r="I8" s="146" t="s">
        <v>298</v>
      </c>
      <c r="J8" s="113" t="s">
        <v>274</v>
      </c>
      <c r="K8" s="6"/>
      <c r="L8" s="4"/>
    </row>
    <row r="9" spans="1:14" x14ac:dyDescent="0.2">
      <c r="A9" s="115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  <c r="G9" s="116">
        <v>7</v>
      </c>
      <c r="H9" s="116">
        <v>8</v>
      </c>
      <c r="I9" s="116"/>
      <c r="J9" s="117">
        <v>9</v>
      </c>
      <c r="K9" s="6"/>
      <c r="L9" s="4"/>
    </row>
    <row r="10" spans="1:14" ht="28.5" customHeight="1" x14ac:dyDescent="0.2">
      <c r="A10" s="147">
        <v>1</v>
      </c>
      <c r="B10" s="148" t="s">
        <v>299</v>
      </c>
      <c r="C10" s="149" t="s">
        <v>178</v>
      </c>
      <c r="D10" s="149" t="s">
        <v>154</v>
      </c>
      <c r="E10" s="149" t="s">
        <v>154</v>
      </c>
      <c r="F10" s="150">
        <f>F11+F18</f>
        <v>1850.0840000000001</v>
      </c>
      <c r="G10" s="150">
        <f>G11+G18</f>
        <v>3317.9801200000002</v>
      </c>
      <c r="H10" s="150">
        <f>H11+H18</f>
        <v>1529.4895999999999</v>
      </c>
      <c r="I10" s="114">
        <f>G10-H10</f>
        <v>1788.4905200000003</v>
      </c>
      <c r="J10" s="118">
        <f>H10/G10*100</f>
        <v>46.097009164720362</v>
      </c>
      <c r="K10" s="6"/>
      <c r="L10" s="74">
        <f>F10*1000</f>
        <v>1850084</v>
      </c>
      <c r="M10" s="74">
        <f>G10*1000</f>
        <v>3317980.12</v>
      </c>
      <c r="N10" s="74">
        <f>H10*1000</f>
        <v>1529489.5999999999</v>
      </c>
    </row>
    <row r="11" spans="1:14" ht="15.75" customHeight="1" x14ac:dyDescent="0.2">
      <c r="A11" s="147">
        <v>2</v>
      </c>
      <c r="B11" s="151" t="s">
        <v>155</v>
      </c>
      <c r="C11" s="152" t="s">
        <v>182</v>
      </c>
      <c r="D11" s="152" t="s">
        <v>154</v>
      </c>
      <c r="E11" s="152" t="s">
        <v>154</v>
      </c>
      <c r="F11" s="153">
        <f t="shared" ref="F11:H14" si="0">F12</f>
        <v>1070.0840000000001</v>
      </c>
      <c r="G11" s="153">
        <f t="shared" si="0"/>
        <v>1257.2331199999999</v>
      </c>
      <c r="H11" s="153">
        <f t="shared" si="0"/>
        <v>401.75373999999999</v>
      </c>
      <c r="I11" s="73">
        <f t="shared" ref="I11:I61" si="1">G11-H11</f>
        <v>855.47937999999988</v>
      </c>
      <c r="J11" s="120">
        <f>H11/G11*100</f>
        <v>31.955389466672656</v>
      </c>
      <c r="K11" s="6"/>
      <c r="L11" s="74">
        <f t="shared" ref="L11:N11" si="2">F11*1000</f>
        <v>1070084</v>
      </c>
      <c r="M11" s="79">
        <f t="shared" si="2"/>
        <v>1257233.1199999999</v>
      </c>
      <c r="N11" s="74">
        <f t="shared" si="2"/>
        <v>401753.74</v>
      </c>
    </row>
    <row r="12" spans="1:14" ht="80.25" customHeight="1" x14ac:dyDescent="0.2">
      <c r="A12" s="147">
        <v>3</v>
      </c>
      <c r="B12" s="151" t="s">
        <v>205</v>
      </c>
      <c r="C12" s="154" t="s">
        <v>177</v>
      </c>
      <c r="D12" s="152" t="s">
        <v>154</v>
      </c>
      <c r="E12" s="152" t="s">
        <v>154</v>
      </c>
      <c r="F12" s="153">
        <f t="shared" si="0"/>
        <v>1070.0840000000001</v>
      </c>
      <c r="G12" s="153">
        <f t="shared" si="0"/>
        <v>1257.2331199999999</v>
      </c>
      <c r="H12" s="153">
        <f t="shared" si="0"/>
        <v>401.75373999999999</v>
      </c>
      <c r="I12" s="73">
        <f t="shared" si="1"/>
        <v>855.47937999999988</v>
      </c>
      <c r="J12" s="120">
        <f t="shared" ref="J12:J62" si="3">H12/G12*100</f>
        <v>31.955389466672656</v>
      </c>
      <c r="K12" s="6"/>
      <c r="L12" s="74">
        <f t="shared" ref="L12:L61" si="4">F12*1000</f>
        <v>1070084</v>
      </c>
      <c r="M12" s="79">
        <f t="shared" ref="M12:M61" si="5">G12*1000</f>
        <v>1257233.1199999999</v>
      </c>
      <c r="N12" s="74">
        <f t="shared" ref="N12:N61" si="6">H12*1000</f>
        <v>401753.74</v>
      </c>
    </row>
    <row r="13" spans="1:14" x14ac:dyDescent="0.2">
      <c r="A13" s="147">
        <v>4</v>
      </c>
      <c r="B13" s="155" t="s">
        <v>71</v>
      </c>
      <c r="C13" s="154" t="s">
        <v>177</v>
      </c>
      <c r="D13" s="57" t="s">
        <v>72</v>
      </c>
      <c r="E13" s="57"/>
      <c r="F13" s="67">
        <f>F14</f>
        <v>1070.0840000000001</v>
      </c>
      <c r="G13" s="67">
        <f t="shared" si="0"/>
        <v>1257.2331199999999</v>
      </c>
      <c r="H13" s="67">
        <f t="shared" si="0"/>
        <v>401.75373999999999</v>
      </c>
      <c r="I13" s="73">
        <f t="shared" si="1"/>
        <v>855.47937999999988</v>
      </c>
      <c r="J13" s="120">
        <f t="shared" si="3"/>
        <v>31.955389466672656</v>
      </c>
      <c r="K13" s="6"/>
      <c r="L13" s="74">
        <f t="shared" si="4"/>
        <v>1070084</v>
      </c>
      <c r="M13" s="79">
        <f t="shared" si="5"/>
        <v>1257233.1199999999</v>
      </c>
      <c r="N13" s="74">
        <f t="shared" si="6"/>
        <v>401753.74</v>
      </c>
    </row>
    <row r="14" spans="1:14" ht="25.5" x14ac:dyDescent="0.2">
      <c r="A14" s="147">
        <v>5</v>
      </c>
      <c r="B14" s="155" t="s">
        <v>156</v>
      </c>
      <c r="C14" s="154" t="s">
        <v>177</v>
      </c>
      <c r="D14" s="57" t="s">
        <v>73</v>
      </c>
      <c r="E14" s="57"/>
      <c r="F14" s="67">
        <f>F15</f>
        <v>1070.0840000000001</v>
      </c>
      <c r="G14" s="67">
        <f t="shared" ref="G14" si="7">G15</f>
        <v>1257.2331199999999</v>
      </c>
      <c r="H14" s="67">
        <f t="shared" si="0"/>
        <v>401.75373999999999</v>
      </c>
      <c r="I14" s="73">
        <f t="shared" si="1"/>
        <v>855.47937999999988</v>
      </c>
      <c r="J14" s="120">
        <f t="shared" si="3"/>
        <v>31.955389466672656</v>
      </c>
      <c r="K14" s="6"/>
      <c r="L14" s="74">
        <f t="shared" si="4"/>
        <v>1070084</v>
      </c>
      <c r="M14" s="79">
        <f t="shared" si="5"/>
        <v>1257233.1199999999</v>
      </c>
      <c r="N14" s="74">
        <f t="shared" si="6"/>
        <v>401753.74</v>
      </c>
    </row>
    <row r="15" spans="1:14" x14ac:dyDescent="0.2">
      <c r="A15" s="147">
        <v>6</v>
      </c>
      <c r="B15" s="58" t="s">
        <v>148</v>
      </c>
      <c r="C15" s="154" t="s">
        <v>177</v>
      </c>
      <c r="D15" s="57" t="s">
        <v>73</v>
      </c>
      <c r="E15" s="57" t="s">
        <v>149</v>
      </c>
      <c r="F15" s="67">
        <f>F16+F17</f>
        <v>1070.0840000000001</v>
      </c>
      <c r="G15" s="67">
        <f t="shared" ref="G15:H15" si="8">G16+G17</f>
        <v>1257.2331199999999</v>
      </c>
      <c r="H15" s="67">
        <f t="shared" si="8"/>
        <v>401.75373999999999</v>
      </c>
      <c r="I15" s="73">
        <f t="shared" si="1"/>
        <v>855.47937999999988</v>
      </c>
      <c r="J15" s="120">
        <f t="shared" si="3"/>
        <v>31.955389466672656</v>
      </c>
      <c r="K15" s="6"/>
      <c r="L15" s="74">
        <f t="shared" si="4"/>
        <v>1070084</v>
      </c>
      <c r="M15" s="79">
        <f t="shared" si="5"/>
        <v>1257233.1199999999</v>
      </c>
      <c r="N15" s="74">
        <f t="shared" si="6"/>
        <v>401753.74</v>
      </c>
    </row>
    <row r="16" spans="1:14" x14ac:dyDescent="0.2">
      <c r="A16" s="147">
        <v>7</v>
      </c>
      <c r="B16" s="59" t="s">
        <v>150</v>
      </c>
      <c r="C16" s="154" t="s">
        <v>177</v>
      </c>
      <c r="D16" s="57" t="s">
        <v>73</v>
      </c>
      <c r="E16" s="57" t="s">
        <v>58</v>
      </c>
      <c r="F16" s="153">
        <v>726.1</v>
      </c>
      <c r="G16" s="153">
        <v>913.24911999999995</v>
      </c>
      <c r="H16" s="67">
        <v>176.85373999999999</v>
      </c>
      <c r="I16" s="73">
        <f t="shared" si="1"/>
        <v>736.39537999999993</v>
      </c>
      <c r="J16" s="120">
        <f t="shared" si="3"/>
        <v>19.365333743765337</v>
      </c>
      <c r="K16" s="6"/>
      <c r="L16" s="74">
        <f t="shared" si="4"/>
        <v>726100</v>
      </c>
      <c r="M16" s="79">
        <f t="shared" si="5"/>
        <v>913249.12</v>
      </c>
      <c r="N16" s="74">
        <f t="shared" si="6"/>
        <v>176853.74</v>
      </c>
    </row>
    <row r="17" spans="1:14" x14ac:dyDescent="0.2">
      <c r="A17" s="147">
        <v>8</v>
      </c>
      <c r="B17" s="59" t="s">
        <v>150</v>
      </c>
      <c r="C17" s="154" t="s">
        <v>428</v>
      </c>
      <c r="D17" s="57" t="s">
        <v>73</v>
      </c>
      <c r="E17" s="57" t="s">
        <v>58</v>
      </c>
      <c r="F17" s="153">
        <v>343.98399999999998</v>
      </c>
      <c r="G17" s="153">
        <v>343.98399999999998</v>
      </c>
      <c r="H17" s="153">
        <v>224.9</v>
      </c>
      <c r="I17" s="73">
        <f t="shared" si="1"/>
        <v>119.08399999999997</v>
      </c>
      <c r="J17" s="120">
        <f t="shared" si="3"/>
        <v>65.380947951067498</v>
      </c>
      <c r="K17" s="6"/>
      <c r="L17" s="74">
        <f t="shared" si="4"/>
        <v>343984</v>
      </c>
      <c r="M17" s="79">
        <f t="shared" si="5"/>
        <v>343984</v>
      </c>
      <c r="N17" s="74">
        <f t="shared" si="6"/>
        <v>224900</v>
      </c>
    </row>
    <row r="18" spans="1:14" ht="69.75" customHeight="1" x14ac:dyDescent="0.2">
      <c r="A18" s="147">
        <v>10</v>
      </c>
      <c r="B18" s="151" t="s">
        <v>300</v>
      </c>
      <c r="C18" s="152" t="s">
        <v>183</v>
      </c>
      <c r="D18" s="152" t="s">
        <v>154</v>
      </c>
      <c r="E18" s="152" t="s">
        <v>154</v>
      </c>
      <c r="F18" s="153">
        <f>F19+F24</f>
        <v>780</v>
      </c>
      <c r="G18" s="153">
        <f>G19+G24</f>
        <v>2060.7470000000003</v>
      </c>
      <c r="H18" s="153">
        <f t="shared" ref="H18" si="9">H19+H24</f>
        <v>1127.73586</v>
      </c>
      <c r="I18" s="73">
        <f t="shared" si="1"/>
        <v>933.0111400000003</v>
      </c>
      <c r="J18" s="120">
        <f t="shared" si="3"/>
        <v>54.724614909059667</v>
      </c>
      <c r="K18" s="6"/>
      <c r="L18" s="74">
        <f t="shared" si="4"/>
        <v>780000</v>
      </c>
      <c r="M18" s="79">
        <f t="shared" si="5"/>
        <v>2060747.0000000002</v>
      </c>
      <c r="N18" s="74">
        <f t="shared" si="6"/>
        <v>1127735.8600000001</v>
      </c>
    </row>
    <row r="19" spans="1:14" ht="102" x14ac:dyDescent="0.2">
      <c r="A19" s="147">
        <v>11</v>
      </c>
      <c r="B19" s="151" t="s">
        <v>301</v>
      </c>
      <c r="C19" s="154" t="s">
        <v>180</v>
      </c>
      <c r="D19" s="152" t="s">
        <v>154</v>
      </c>
      <c r="E19" s="152" t="s">
        <v>154</v>
      </c>
      <c r="F19" s="153">
        <f>F20</f>
        <v>780</v>
      </c>
      <c r="G19" s="153">
        <f>G20</f>
        <v>780</v>
      </c>
      <c r="H19" s="153">
        <f t="shared" ref="G19:H20" si="10">H20</f>
        <v>267.45938999999998</v>
      </c>
      <c r="I19" s="73">
        <f t="shared" si="1"/>
        <v>512.54061000000002</v>
      </c>
      <c r="J19" s="120">
        <f t="shared" si="3"/>
        <v>34.289665384615382</v>
      </c>
      <c r="K19" s="6"/>
      <c r="L19" s="74">
        <f t="shared" si="4"/>
        <v>780000</v>
      </c>
      <c r="M19" s="79">
        <f t="shared" si="5"/>
        <v>780000</v>
      </c>
      <c r="N19" s="74">
        <f t="shared" si="6"/>
        <v>267459.39</v>
      </c>
    </row>
    <row r="20" spans="1:14" x14ac:dyDescent="0.2">
      <c r="A20" s="147">
        <v>12</v>
      </c>
      <c r="B20" s="155" t="s">
        <v>71</v>
      </c>
      <c r="C20" s="154" t="s">
        <v>180</v>
      </c>
      <c r="D20" s="57" t="s">
        <v>72</v>
      </c>
      <c r="E20" s="57"/>
      <c r="F20" s="67">
        <f t="shared" ref="F20:F21" si="11">F21</f>
        <v>780</v>
      </c>
      <c r="G20" s="153">
        <f t="shared" si="10"/>
        <v>780</v>
      </c>
      <c r="H20" s="153">
        <f t="shared" si="10"/>
        <v>267.45938999999998</v>
      </c>
      <c r="I20" s="73">
        <f t="shared" si="1"/>
        <v>512.54061000000002</v>
      </c>
      <c r="J20" s="120">
        <f t="shared" si="3"/>
        <v>34.289665384615382</v>
      </c>
      <c r="K20" s="6"/>
      <c r="L20" s="74">
        <f t="shared" si="4"/>
        <v>780000</v>
      </c>
      <c r="M20" s="79">
        <f t="shared" si="5"/>
        <v>780000</v>
      </c>
      <c r="N20" s="74">
        <f t="shared" si="6"/>
        <v>267459.39</v>
      </c>
    </row>
    <row r="21" spans="1:14" ht="25.5" x14ac:dyDescent="0.2">
      <c r="A21" s="147">
        <v>13</v>
      </c>
      <c r="B21" s="155" t="s">
        <v>156</v>
      </c>
      <c r="C21" s="154" t="s">
        <v>180</v>
      </c>
      <c r="D21" s="57" t="s">
        <v>73</v>
      </c>
      <c r="E21" s="57"/>
      <c r="F21" s="67">
        <f t="shared" si="11"/>
        <v>780</v>
      </c>
      <c r="G21" s="153">
        <f t="shared" ref="G21:H21" si="12">SUM(G22)</f>
        <v>780</v>
      </c>
      <c r="H21" s="153">
        <f t="shared" si="12"/>
        <v>267.45938999999998</v>
      </c>
      <c r="I21" s="73">
        <f t="shared" si="1"/>
        <v>512.54061000000002</v>
      </c>
      <c r="J21" s="120">
        <f t="shared" si="3"/>
        <v>34.289665384615382</v>
      </c>
      <c r="K21" s="6"/>
      <c r="L21" s="74">
        <f t="shared" si="4"/>
        <v>780000</v>
      </c>
      <c r="M21" s="79">
        <f t="shared" si="5"/>
        <v>780000</v>
      </c>
      <c r="N21" s="74">
        <f t="shared" si="6"/>
        <v>267459.39</v>
      </c>
    </row>
    <row r="22" spans="1:14" x14ac:dyDescent="0.2">
      <c r="A22" s="147">
        <v>14</v>
      </c>
      <c r="B22" s="58" t="s">
        <v>151</v>
      </c>
      <c r="C22" s="154" t="s">
        <v>180</v>
      </c>
      <c r="D22" s="57" t="s">
        <v>73</v>
      </c>
      <c r="E22" s="57" t="s">
        <v>30</v>
      </c>
      <c r="F22" s="67">
        <f>F23</f>
        <v>780</v>
      </c>
      <c r="G22" s="67">
        <f t="shared" ref="G22:H22" si="13">G23</f>
        <v>780</v>
      </c>
      <c r="H22" s="67">
        <f t="shared" si="13"/>
        <v>267.45938999999998</v>
      </c>
      <c r="I22" s="73">
        <f t="shared" si="1"/>
        <v>512.54061000000002</v>
      </c>
      <c r="J22" s="120">
        <f t="shared" si="3"/>
        <v>34.289665384615382</v>
      </c>
      <c r="K22" s="6"/>
      <c r="L22" s="74">
        <f t="shared" si="4"/>
        <v>780000</v>
      </c>
      <c r="M22" s="79">
        <f t="shared" si="5"/>
        <v>780000</v>
      </c>
      <c r="N22" s="74">
        <f t="shared" si="6"/>
        <v>267459.39</v>
      </c>
    </row>
    <row r="23" spans="1:14" x14ac:dyDescent="0.2">
      <c r="A23" s="147">
        <v>15</v>
      </c>
      <c r="B23" s="151" t="s">
        <v>152</v>
      </c>
      <c r="C23" s="154" t="s">
        <v>180</v>
      </c>
      <c r="D23" s="57" t="s">
        <v>377</v>
      </c>
      <c r="E23" s="57" t="s">
        <v>31</v>
      </c>
      <c r="F23" s="67">
        <v>780</v>
      </c>
      <c r="G23" s="153">
        <v>780</v>
      </c>
      <c r="H23" s="153">
        <v>267.45938999999998</v>
      </c>
      <c r="I23" s="73">
        <f t="shared" si="1"/>
        <v>512.54061000000002</v>
      </c>
      <c r="J23" s="120">
        <f t="shared" si="3"/>
        <v>34.289665384615382</v>
      </c>
      <c r="K23" s="6"/>
      <c r="L23" s="74">
        <f t="shared" si="4"/>
        <v>780000</v>
      </c>
      <c r="M23" s="79">
        <f t="shared" si="5"/>
        <v>780000</v>
      </c>
      <c r="N23" s="74">
        <f t="shared" si="6"/>
        <v>267459.39</v>
      </c>
    </row>
    <row r="24" spans="1:14" ht="95.25" customHeight="1" x14ac:dyDescent="0.2">
      <c r="A24" s="147">
        <v>16</v>
      </c>
      <c r="B24" s="151" t="s">
        <v>302</v>
      </c>
      <c r="C24" s="154" t="s">
        <v>181</v>
      </c>
      <c r="D24" s="152" t="s">
        <v>154</v>
      </c>
      <c r="E24" s="152" t="s">
        <v>154</v>
      </c>
      <c r="F24" s="153">
        <f>F25</f>
        <v>0</v>
      </c>
      <c r="G24" s="153">
        <f t="shared" ref="G24:H27" si="14">G25</f>
        <v>1280.7470000000001</v>
      </c>
      <c r="H24" s="153">
        <f t="shared" si="14"/>
        <v>860.27647000000002</v>
      </c>
      <c r="I24" s="73">
        <f t="shared" si="1"/>
        <v>420.47053000000005</v>
      </c>
      <c r="J24" s="120">
        <f t="shared" si="3"/>
        <v>67.169899285338943</v>
      </c>
      <c r="K24" s="6"/>
      <c r="L24" s="74">
        <f t="shared" si="4"/>
        <v>0</v>
      </c>
      <c r="M24" s="79">
        <f t="shared" si="5"/>
        <v>1280747</v>
      </c>
      <c r="N24" s="74">
        <f t="shared" si="6"/>
        <v>860276.47</v>
      </c>
    </row>
    <row r="25" spans="1:14" x14ac:dyDescent="0.2">
      <c r="A25" s="147">
        <v>17</v>
      </c>
      <c r="B25" s="155" t="s">
        <v>71</v>
      </c>
      <c r="C25" s="154" t="s">
        <v>181</v>
      </c>
      <c r="D25" s="57" t="s">
        <v>72</v>
      </c>
      <c r="E25" s="57"/>
      <c r="F25" s="67">
        <f>F26</f>
        <v>0</v>
      </c>
      <c r="G25" s="67">
        <f t="shared" si="14"/>
        <v>1280.7470000000001</v>
      </c>
      <c r="H25" s="67">
        <f t="shared" si="14"/>
        <v>860.27647000000002</v>
      </c>
      <c r="I25" s="73">
        <f t="shared" si="1"/>
        <v>420.47053000000005</v>
      </c>
      <c r="J25" s="120">
        <f t="shared" si="3"/>
        <v>67.169899285338943</v>
      </c>
      <c r="K25" s="6"/>
      <c r="L25" s="74">
        <f t="shared" si="4"/>
        <v>0</v>
      </c>
      <c r="M25" s="79">
        <f t="shared" si="5"/>
        <v>1280747</v>
      </c>
      <c r="N25" s="74">
        <f t="shared" si="6"/>
        <v>860276.47</v>
      </c>
    </row>
    <row r="26" spans="1:14" ht="25.5" x14ac:dyDescent="0.2">
      <c r="A26" s="147">
        <v>18</v>
      </c>
      <c r="B26" s="155" t="s">
        <v>156</v>
      </c>
      <c r="C26" s="154" t="s">
        <v>181</v>
      </c>
      <c r="D26" s="57" t="s">
        <v>73</v>
      </c>
      <c r="E26" s="57"/>
      <c r="F26" s="67">
        <f>F27</f>
        <v>0</v>
      </c>
      <c r="G26" s="67">
        <f t="shared" si="14"/>
        <v>1280.7470000000001</v>
      </c>
      <c r="H26" s="67">
        <f t="shared" si="14"/>
        <v>860.27647000000002</v>
      </c>
      <c r="I26" s="73">
        <f t="shared" si="1"/>
        <v>420.47053000000005</v>
      </c>
      <c r="J26" s="120">
        <f t="shared" si="3"/>
        <v>67.169899285338943</v>
      </c>
      <c r="K26" s="6"/>
      <c r="L26" s="74">
        <f t="shared" si="4"/>
        <v>0</v>
      </c>
      <c r="M26" s="79">
        <f t="shared" si="5"/>
        <v>1280747</v>
      </c>
      <c r="N26" s="74">
        <f t="shared" si="6"/>
        <v>860276.47</v>
      </c>
    </row>
    <row r="27" spans="1:14" ht="12" customHeight="1" x14ac:dyDescent="0.2">
      <c r="A27" s="147">
        <v>19</v>
      </c>
      <c r="B27" s="58" t="s">
        <v>151</v>
      </c>
      <c r="C27" s="154" t="s">
        <v>181</v>
      </c>
      <c r="D27" s="57" t="s">
        <v>73</v>
      </c>
      <c r="E27" s="57" t="s">
        <v>30</v>
      </c>
      <c r="F27" s="67">
        <f>F28</f>
        <v>0</v>
      </c>
      <c r="G27" s="67">
        <f t="shared" si="14"/>
        <v>1280.7470000000001</v>
      </c>
      <c r="H27" s="67">
        <f t="shared" si="14"/>
        <v>860.27647000000002</v>
      </c>
      <c r="I27" s="73">
        <f t="shared" si="1"/>
        <v>420.47053000000005</v>
      </c>
      <c r="J27" s="120">
        <f t="shared" si="3"/>
        <v>67.169899285338943</v>
      </c>
      <c r="K27" s="6"/>
      <c r="L27" s="74">
        <f t="shared" si="4"/>
        <v>0</v>
      </c>
      <c r="M27" s="79">
        <f t="shared" si="5"/>
        <v>1280747</v>
      </c>
      <c r="N27" s="74">
        <f t="shared" si="6"/>
        <v>860276.47</v>
      </c>
    </row>
    <row r="28" spans="1:14" x14ac:dyDescent="0.2">
      <c r="A28" s="147">
        <v>20</v>
      </c>
      <c r="B28" s="151" t="s">
        <v>152</v>
      </c>
      <c r="C28" s="154" t="s">
        <v>181</v>
      </c>
      <c r="D28" s="57" t="s">
        <v>73</v>
      </c>
      <c r="E28" s="57" t="s">
        <v>31</v>
      </c>
      <c r="F28" s="67">
        <v>0</v>
      </c>
      <c r="G28" s="72">
        <v>1280.7470000000001</v>
      </c>
      <c r="H28" s="72">
        <v>860.27647000000002</v>
      </c>
      <c r="I28" s="73">
        <f t="shared" si="1"/>
        <v>420.47053000000005</v>
      </c>
      <c r="J28" s="120">
        <f t="shared" si="3"/>
        <v>67.169899285338943</v>
      </c>
      <c r="K28" s="6"/>
      <c r="L28" s="74">
        <f t="shared" si="4"/>
        <v>0</v>
      </c>
      <c r="M28" s="79">
        <f t="shared" si="5"/>
        <v>1280747</v>
      </c>
      <c r="N28" s="74">
        <f t="shared" si="6"/>
        <v>860276.47</v>
      </c>
    </row>
    <row r="29" spans="1:14" ht="29.25" customHeight="1" x14ac:dyDescent="0.2">
      <c r="A29" s="147">
        <v>21</v>
      </c>
      <c r="B29" s="148" t="s">
        <v>405</v>
      </c>
      <c r="C29" s="149" t="s">
        <v>173</v>
      </c>
      <c r="D29" s="149" t="s">
        <v>154</v>
      </c>
      <c r="E29" s="149" t="s">
        <v>154</v>
      </c>
      <c r="F29" s="153">
        <f>F30</f>
        <v>471.053</v>
      </c>
      <c r="G29" s="73">
        <f t="shared" ref="G29" si="15">G30</f>
        <v>471.053</v>
      </c>
      <c r="H29" s="73">
        <f>H30</f>
        <v>0</v>
      </c>
      <c r="I29" s="73">
        <f t="shared" si="1"/>
        <v>471.053</v>
      </c>
      <c r="J29" s="120">
        <f t="shared" si="3"/>
        <v>0</v>
      </c>
      <c r="K29" s="6"/>
      <c r="L29" s="74">
        <f t="shared" si="4"/>
        <v>471053</v>
      </c>
      <c r="M29" s="79">
        <f t="shared" si="5"/>
        <v>471053</v>
      </c>
      <c r="N29" s="74">
        <f t="shared" si="6"/>
        <v>0</v>
      </c>
    </row>
    <row r="30" spans="1:14" x14ac:dyDescent="0.2">
      <c r="A30" s="147">
        <v>22</v>
      </c>
      <c r="B30" s="151" t="s">
        <v>206</v>
      </c>
      <c r="C30" s="152" t="s">
        <v>195</v>
      </c>
      <c r="D30" s="152" t="s">
        <v>154</v>
      </c>
      <c r="E30" s="152" t="s">
        <v>154</v>
      </c>
      <c r="F30" s="153">
        <f t="shared" ref="F30" si="16">F31</f>
        <v>471.053</v>
      </c>
      <c r="G30" s="153">
        <f>SUM(G31:G31)</f>
        <v>471.053</v>
      </c>
      <c r="H30" s="153">
        <f>SUM(H31:H31)</f>
        <v>0</v>
      </c>
      <c r="I30" s="73">
        <f t="shared" si="1"/>
        <v>471.053</v>
      </c>
      <c r="J30" s="120">
        <f t="shared" si="3"/>
        <v>0</v>
      </c>
      <c r="K30" s="6"/>
      <c r="L30" s="74">
        <f t="shared" si="4"/>
        <v>471053</v>
      </c>
      <c r="M30" s="79">
        <f t="shared" si="5"/>
        <v>471053</v>
      </c>
      <c r="N30" s="74">
        <f t="shared" si="6"/>
        <v>0</v>
      </c>
    </row>
    <row r="31" spans="1:14" ht="15.75" customHeight="1" x14ac:dyDescent="0.2">
      <c r="A31" s="147">
        <v>23</v>
      </c>
      <c r="B31" s="151" t="s">
        <v>303</v>
      </c>
      <c r="C31" s="154" t="s">
        <v>304</v>
      </c>
      <c r="D31" s="152" t="s">
        <v>154</v>
      </c>
      <c r="E31" s="152" t="s">
        <v>154</v>
      </c>
      <c r="F31" s="153">
        <f>F32</f>
        <v>471.053</v>
      </c>
      <c r="G31" s="153">
        <f t="shared" ref="G31:H34" si="17">G32</f>
        <v>471.053</v>
      </c>
      <c r="H31" s="153">
        <f t="shared" si="17"/>
        <v>0</v>
      </c>
      <c r="I31" s="73">
        <f t="shared" si="1"/>
        <v>471.053</v>
      </c>
      <c r="J31" s="120">
        <f t="shared" si="3"/>
        <v>0</v>
      </c>
      <c r="K31" s="6"/>
      <c r="L31" s="74">
        <f t="shared" si="4"/>
        <v>471053</v>
      </c>
      <c r="M31" s="79">
        <f t="shared" si="5"/>
        <v>471053</v>
      </c>
      <c r="N31" s="74">
        <f t="shared" si="6"/>
        <v>0</v>
      </c>
    </row>
    <row r="32" spans="1:14" ht="12.75" customHeight="1" x14ac:dyDescent="0.2">
      <c r="A32" s="147">
        <v>24</v>
      </c>
      <c r="B32" s="155" t="s">
        <v>71</v>
      </c>
      <c r="C32" s="154" t="s">
        <v>304</v>
      </c>
      <c r="D32" s="57" t="s">
        <v>72</v>
      </c>
      <c r="E32" s="57"/>
      <c r="F32" s="67">
        <f>F33</f>
        <v>471.053</v>
      </c>
      <c r="G32" s="67">
        <f t="shared" si="17"/>
        <v>471.053</v>
      </c>
      <c r="H32" s="67">
        <f t="shared" si="17"/>
        <v>0</v>
      </c>
      <c r="I32" s="73">
        <f t="shared" si="1"/>
        <v>471.053</v>
      </c>
      <c r="J32" s="120">
        <f t="shared" si="3"/>
        <v>0</v>
      </c>
      <c r="K32" s="6"/>
      <c r="L32" s="74">
        <f t="shared" si="4"/>
        <v>471053</v>
      </c>
      <c r="M32" s="79">
        <f t="shared" si="5"/>
        <v>471053</v>
      </c>
      <c r="N32" s="74">
        <f t="shared" si="6"/>
        <v>0</v>
      </c>
    </row>
    <row r="33" spans="1:14" ht="25.5" customHeight="1" x14ac:dyDescent="0.2">
      <c r="A33" s="147">
        <v>25</v>
      </c>
      <c r="B33" s="155" t="s">
        <v>156</v>
      </c>
      <c r="C33" s="154" t="s">
        <v>233</v>
      </c>
      <c r="D33" s="57" t="s">
        <v>73</v>
      </c>
      <c r="E33" s="57"/>
      <c r="F33" s="67">
        <f>F34</f>
        <v>471.053</v>
      </c>
      <c r="G33" s="67">
        <f t="shared" si="17"/>
        <v>471.053</v>
      </c>
      <c r="H33" s="67">
        <f t="shared" si="17"/>
        <v>0</v>
      </c>
      <c r="I33" s="73">
        <f t="shared" si="1"/>
        <v>471.053</v>
      </c>
      <c r="J33" s="120">
        <f t="shared" si="3"/>
        <v>0</v>
      </c>
      <c r="K33" s="6"/>
      <c r="L33" s="74">
        <f t="shared" si="4"/>
        <v>471053</v>
      </c>
      <c r="M33" s="79">
        <f t="shared" si="5"/>
        <v>471053</v>
      </c>
      <c r="N33" s="74">
        <f t="shared" si="6"/>
        <v>0</v>
      </c>
    </row>
    <row r="34" spans="1:14" ht="14.25" customHeight="1" x14ac:dyDescent="0.2">
      <c r="A34" s="147">
        <v>26</v>
      </c>
      <c r="B34" s="60" t="s">
        <v>185</v>
      </c>
      <c r="C34" s="154" t="s">
        <v>233</v>
      </c>
      <c r="D34" s="57" t="s">
        <v>73</v>
      </c>
      <c r="E34" s="57" t="s">
        <v>194</v>
      </c>
      <c r="F34" s="67">
        <f>F35</f>
        <v>471.053</v>
      </c>
      <c r="G34" s="67">
        <f t="shared" si="17"/>
        <v>471.053</v>
      </c>
      <c r="H34" s="67">
        <f t="shared" si="17"/>
        <v>0</v>
      </c>
      <c r="I34" s="73">
        <f t="shared" si="1"/>
        <v>471.053</v>
      </c>
      <c r="J34" s="120">
        <f t="shared" si="3"/>
        <v>0</v>
      </c>
      <c r="K34" s="6"/>
      <c r="L34" s="74">
        <f t="shared" si="4"/>
        <v>471053</v>
      </c>
      <c r="M34" s="79">
        <f t="shared" si="5"/>
        <v>471053</v>
      </c>
      <c r="N34" s="74">
        <f t="shared" si="6"/>
        <v>0</v>
      </c>
    </row>
    <row r="35" spans="1:14" ht="12" customHeight="1" x14ac:dyDescent="0.2">
      <c r="A35" s="147">
        <v>27</v>
      </c>
      <c r="B35" s="59" t="s">
        <v>283</v>
      </c>
      <c r="C35" s="154" t="s">
        <v>233</v>
      </c>
      <c r="D35" s="57" t="s">
        <v>73</v>
      </c>
      <c r="E35" s="57" t="s">
        <v>186</v>
      </c>
      <c r="F35" s="153">
        <v>471.053</v>
      </c>
      <c r="G35" s="153">
        <v>471.053</v>
      </c>
      <c r="H35" s="153">
        <v>0</v>
      </c>
      <c r="I35" s="73">
        <f t="shared" si="1"/>
        <v>471.053</v>
      </c>
      <c r="J35" s="120">
        <f t="shared" si="3"/>
        <v>0</v>
      </c>
      <c r="K35" s="6"/>
      <c r="L35" s="74">
        <f t="shared" si="4"/>
        <v>471053</v>
      </c>
      <c r="M35" s="79">
        <f t="shared" si="5"/>
        <v>471053</v>
      </c>
      <c r="N35" s="74">
        <f t="shared" si="6"/>
        <v>0</v>
      </c>
    </row>
    <row r="36" spans="1:14" ht="54.75" customHeight="1" x14ac:dyDescent="0.2">
      <c r="A36" s="147">
        <v>28</v>
      </c>
      <c r="B36" s="214" t="s">
        <v>406</v>
      </c>
      <c r="C36" s="225" t="s">
        <v>394</v>
      </c>
      <c r="D36" s="103"/>
      <c r="E36" s="103"/>
      <c r="F36" s="157">
        <f>F38</f>
        <v>1</v>
      </c>
      <c r="G36" s="157">
        <f>G38</f>
        <v>1</v>
      </c>
      <c r="H36" s="157">
        <f>H38</f>
        <v>0</v>
      </c>
      <c r="I36" s="73">
        <f t="shared" si="1"/>
        <v>1</v>
      </c>
      <c r="J36" s="120">
        <f t="shared" si="3"/>
        <v>0</v>
      </c>
      <c r="K36" s="6"/>
      <c r="L36" s="74">
        <f t="shared" si="4"/>
        <v>1000</v>
      </c>
      <c r="M36" s="79">
        <f t="shared" si="5"/>
        <v>1000</v>
      </c>
      <c r="N36" s="74">
        <f t="shared" si="6"/>
        <v>0</v>
      </c>
    </row>
    <row r="37" spans="1:14" ht="37.5" customHeight="1" x14ac:dyDescent="0.2">
      <c r="A37" s="147">
        <v>29</v>
      </c>
      <c r="B37" s="214" t="s">
        <v>393</v>
      </c>
      <c r="C37" s="35" t="s">
        <v>395</v>
      </c>
      <c r="D37" s="103"/>
      <c r="E37" s="103"/>
      <c r="F37" s="157">
        <f>F38</f>
        <v>1</v>
      </c>
      <c r="G37" s="157">
        <f>G38</f>
        <v>1</v>
      </c>
      <c r="H37" s="157">
        <f t="shared" ref="H37" si="18">H38</f>
        <v>0</v>
      </c>
      <c r="I37" s="73">
        <f t="shared" si="1"/>
        <v>1</v>
      </c>
      <c r="J37" s="120">
        <f t="shared" si="3"/>
        <v>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0</v>
      </c>
    </row>
    <row r="38" spans="1:14" ht="16.5" customHeight="1" x14ac:dyDescent="0.2">
      <c r="A38" s="147">
        <v>30</v>
      </c>
      <c r="B38" s="101" t="s">
        <v>71</v>
      </c>
      <c r="C38" s="35" t="s">
        <v>389</v>
      </c>
      <c r="D38" s="103" t="s">
        <v>72</v>
      </c>
      <c r="E38" s="103" t="s">
        <v>194</v>
      </c>
      <c r="F38" s="157">
        <f>F39</f>
        <v>1</v>
      </c>
      <c r="G38" s="157">
        <f>G39</f>
        <v>1</v>
      </c>
      <c r="H38" s="157">
        <f>H39</f>
        <v>0</v>
      </c>
      <c r="I38" s="73">
        <f t="shared" si="1"/>
        <v>1</v>
      </c>
      <c r="J38" s="120">
        <f t="shared" si="3"/>
        <v>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0</v>
      </c>
    </row>
    <row r="39" spans="1:14" ht="12" customHeight="1" x14ac:dyDescent="0.2">
      <c r="A39" s="147">
        <v>31</v>
      </c>
      <c r="B39" s="101" t="s">
        <v>156</v>
      </c>
      <c r="C39" s="35" t="s">
        <v>389</v>
      </c>
      <c r="D39" s="103" t="s">
        <v>73</v>
      </c>
      <c r="E39" s="103" t="s">
        <v>231</v>
      </c>
      <c r="F39" s="157">
        <v>1</v>
      </c>
      <c r="G39" s="157">
        <v>1</v>
      </c>
      <c r="H39" s="157">
        <v>0</v>
      </c>
      <c r="I39" s="73">
        <f t="shared" si="1"/>
        <v>1</v>
      </c>
      <c r="J39" s="120">
        <f t="shared" si="3"/>
        <v>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0</v>
      </c>
    </row>
    <row r="40" spans="1:14" ht="12.75" customHeight="1" x14ac:dyDescent="0.2">
      <c r="A40" s="147">
        <v>32</v>
      </c>
      <c r="B40" s="61" t="s">
        <v>139</v>
      </c>
      <c r="C40" s="152">
        <v>6100000000</v>
      </c>
      <c r="D40" s="99"/>
      <c r="E40" s="99"/>
      <c r="F40" s="100">
        <f>F41</f>
        <v>1021.0346500000001</v>
      </c>
      <c r="G40" s="100">
        <f>G41</f>
        <v>1046.0346500000001</v>
      </c>
      <c r="H40" s="100">
        <f t="shared" ref="G40:H50" si="19">H41</f>
        <v>217.30606</v>
      </c>
      <c r="I40" s="73">
        <f t="shared" si="1"/>
        <v>828.72859000000005</v>
      </c>
      <c r="J40" s="120">
        <f t="shared" si="3"/>
        <v>20.77426976247871</v>
      </c>
      <c r="K40" s="6"/>
      <c r="L40" s="74">
        <f t="shared" si="4"/>
        <v>1021034.65</v>
      </c>
      <c r="M40" s="79">
        <f t="shared" si="5"/>
        <v>1046034.65</v>
      </c>
      <c r="N40" s="74">
        <f t="shared" si="6"/>
        <v>217306.06</v>
      </c>
    </row>
    <row r="41" spans="1:14" ht="25.5" customHeight="1" x14ac:dyDescent="0.2">
      <c r="A41" s="147">
        <v>33</v>
      </c>
      <c r="B41" s="60" t="s">
        <v>140</v>
      </c>
      <c r="C41" s="152" t="s">
        <v>267</v>
      </c>
      <c r="D41" s="62"/>
      <c r="E41" s="62"/>
      <c r="F41" s="100">
        <f>F42</f>
        <v>1021.0346500000001</v>
      </c>
      <c r="G41" s="100">
        <f t="shared" ref="G41" si="20">G42</f>
        <v>1046.0346500000001</v>
      </c>
      <c r="H41" s="100">
        <f t="shared" si="19"/>
        <v>217.30606</v>
      </c>
      <c r="I41" s="73">
        <f t="shared" si="1"/>
        <v>828.72859000000005</v>
      </c>
      <c r="J41" s="120">
        <f t="shared" si="3"/>
        <v>20.77426976247871</v>
      </c>
      <c r="K41" s="6"/>
      <c r="L41" s="74">
        <f t="shared" si="4"/>
        <v>1021034.65</v>
      </c>
      <c r="M41" s="79">
        <f t="shared" si="5"/>
        <v>1046034.65</v>
      </c>
      <c r="N41" s="74">
        <f t="shared" si="6"/>
        <v>217306.06</v>
      </c>
    </row>
    <row r="42" spans="1:14" ht="40.5" customHeight="1" x14ac:dyDescent="0.2">
      <c r="A42" s="147">
        <v>34</v>
      </c>
      <c r="B42" s="60" t="s">
        <v>69</v>
      </c>
      <c r="C42" s="152" t="s">
        <v>167</v>
      </c>
      <c r="D42" s="62" t="s">
        <v>70</v>
      </c>
      <c r="E42" s="62"/>
      <c r="F42" s="100">
        <f t="shared" ref="F42:F44" si="21">F43</f>
        <v>1021.0346500000001</v>
      </c>
      <c r="G42" s="153">
        <f>G43</f>
        <v>1046.0346500000001</v>
      </c>
      <c r="H42" s="153">
        <f t="shared" si="19"/>
        <v>217.30606</v>
      </c>
      <c r="I42" s="73">
        <f t="shared" si="1"/>
        <v>828.72859000000005</v>
      </c>
      <c r="J42" s="120">
        <f t="shared" si="3"/>
        <v>20.77426976247871</v>
      </c>
      <c r="K42" s="6"/>
      <c r="L42" s="74">
        <f t="shared" si="4"/>
        <v>1021034.65</v>
      </c>
      <c r="M42" s="79">
        <f t="shared" si="5"/>
        <v>1046034.65</v>
      </c>
      <c r="N42" s="74">
        <f t="shared" si="6"/>
        <v>217306.06</v>
      </c>
    </row>
    <row r="43" spans="1:14" ht="15.75" customHeight="1" x14ac:dyDescent="0.2">
      <c r="A43" s="147">
        <v>35</v>
      </c>
      <c r="B43" s="60" t="s">
        <v>157</v>
      </c>
      <c r="C43" s="152" t="s">
        <v>167</v>
      </c>
      <c r="D43" s="62" t="s">
        <v>74</v>
      </c>
      <c r="E43" s="62"/>
      <c r="F43" s="100">
        <f t="shared" si="21"/>
        <v>1021.0346500000001</v>
      </c>
      <c r="G43" s="153">
        <f t="shared" si="19"/>
        <v>1046.0346500000001</v>
      </c>
      <c r="H43" s="153">
        <f t="shared" si="19"/>
        <v>217.30606</v>
      </c>
      <c r="I43" s="73">
        <f t="shared" si="1"/>
        <v>828.72859000000005</v>
      </c>
      <c r="J43" s="120">
        <f t="shared" si="3"/>
        <v>20.77426976247871</v>
      </c>
      <c r="K43" s="6"/>
      <c r="L43" s="74">
        <f t="shared" si="4"/>
        <v>1021034.65</v>
      </c>
      <c r="M43" s="79">
        <f t="shared" si="5"/>
        <v>1046034.65</v>
      </c>
      <c r="N43" s="74">
        <f t="shared" si="6"/>
        <v>217306.06</v>
      </c>
    </row>
    <row r="44" spans="1:14" ht="15" customHeight="1" x14ac:dyDescent="0.2">
      <c r="A44" s="147">
        <v>36</v>
      </c>
      <c r="B44" s="101" t="s">
        <v>281</v>
      </c>
      <c r="C44" s="152" t="s">
        <v>167</v>
      </c>
      <c r="D44" s="62" t="s">
        <v>74</v>
      </c>
      <c r="E44" s="62" t="s">
        <v>24</v>
      </c>
      <c r="F44" s="100">
        <f t="shared" si="21"/>
        <v>1021.0346500000001</v>
      </c>
      <c r="G44" s="153">
        <f t="shared" si="19"/>
        <v>1046.0346500000001</v>
      </c>
      <c r="H44" s="153">
        <f t="shared" si="19"/>
        <v>217.30606</v>
      </c>
      <c r="I44" s="73">
        <f t="shared" si="1"/>
        <v>828.72859000000005</v>
      </c>
      <c r="J44" s="120">
        <f t="shared" si="3"/>
        <v>20.77426976247871</v>
      </c>
      <c r="K44" s="6"/>
      <c r="L44" s="74">
        <f t="shared" si="4"/>
        <v>1021034.65</v>
      </c>
      <c r="M44" s="79">
        <f t="shared" si="5"/>
        <v>1046034.65</v>
      </c>
      <c r="N44" s="74">
        <f t="shared" si="6"/>
        <v>217306.06</v>
      </c>
    </row>
    <row r="45" spans="1:14" ht="25.5" customHeight="1" x14ac:dyDescent="0.2">
      <c r="A45" s="147">
        <v>37</v>
      </c>
      <c r="B45" s="60" t="s">
        <v>18</v>
      </c>
      <c r="C45" s="152" t="s">
        <v>167</v>
      </c>
      <c r="D45" s="62" t="s">
        <v>74</v>
      </c>
      <c r="E45" s="62" t="s">
        <v>25</v>
      </c>
      <c r="F45" s="100">
        <v>1021.0346500000001</v>
      </c>
      <c r="G45" s="100">
        <v>1046.0346500000001</v>
      </c>
      <c r="H45" s="153">
        <f>177.83442+39.47164</f>
        <v>217.30606</v>
      </c>
      <c r="I45" s="73">
        <f t="shared" si="1"/>
        <v>828.72859000000005</v>
      </c>
      <c r="J45" s="120">
        <f t="shared" si="3"/>
        <v>20.77426976247871</v>
      </c>
      <c r="K45" s="6"/>
      <c r="L45" s="74">
        <f t="shared" si="4"/>
        <v>1021034.65</v>
      </c>
      <c r="M45" s="79">
        <f t="shared" si="5"/>
        <v>1046034.65</v>
      </c>
      <c r="N45" s="74">
        <f t="shared" si="6"/>
        <v>217306.06</v>
      </c>
    </row>
    <row r="46" spans="1:14" x14ac:dyDescent="0.2">
      <c r="A46" s="147">
        <v>42</v>
      </c>
      <c r="B46" s="61" t="s">
        <v>139</v>
      </c>
      <c r="C46" s="152">
        <v>6200000000</v>
      </c>
      <c r="D46" s="62"/>
      <c r="E46" s="62"/>
      <c r="F46" s="100">
        <f>F47</f>
        <v>935.93008999999995</v>
      </c>
      <c r="G46" s="100">
        <f>G47</f>
        <v>935.93008999999995</v>
      </c>
      <c r="H46" s="100">
        <f t="shared" ref="H46:H47" si="22">H47</f>
        <v>179.67714999999998</v>
      </c>
      <c r="I46" s="73">
        <f t="shared" si="1"/>
        <v>756.25293999999997</v>
      </c>
      <c r="J46" s="120">
        <f t="shared" si="3"/>
        <v>19.197710589687311</v>
      </c>
      <c r="K46" s="6"/>
      <c r="L46" s="74">
        <f t="shared" si="4"/>
        <v>935930.09</v>
      </c>
      <c r="M46" s="79">
        <f t="shared" si="5"/>
        <v>935930.09</v>
      </c>
      <c r="N46" s="74">
        <f t="shared" si="6"/>
        <v>179677.15</v>
      </c>
    </row>
    <row r="47" spans="1:14" x14ac:dyDescent="0.2">
      <c r="A47" s="147">
        <v>43</v>
      </c>
      <c r="B47" s="60" t="s">
        <v>141</v>
      </c>
      <c r="C47" s="152" t="s">
        <v>268</v>
      </c>
      <c r="D47" s="62"/>
      <c r="E47" s="62"/>
      <c r="F47" s="100">
        <f>F48</f>
        <v>935.93008999999995</v>
      </c>
      <c r="G47" s="100">
        <f t="shared" ref="G47" si="23">G48</f>
        <v>935.93008999999995</v>
      </c>
      <c r="H47" s="100">
        <f t="shared" si="22"/>
        <v>179.67714999999998</v>
      </c>
      <c r="I47" s="73">
        <f t="shared" si="1"/>
        <v>756.25293999999997</v>
      </c>
      <c r="J47" s="120">
        <f t="shared" si="3"/>
        <v>19.197710589687311</v>
      </c>
      <c r="K47" s="6"/>
      <c r="L47" s="74">
        <f t="shared" si="4"/>
        <v>935930.09</v>
      </c>
      <c r="M47" s="79">
        <f t="shared" si="5"/>
        <v>935930.09</v>
      </c>
      <c r="N47" s="74">
        <f t="shared" si="6"/>
        <v>179677.15</v>
      </c>
    </row>
    <row r="48" spans="1:14" ht="38.25" x14ac:dyDescent="0.2">
      <c r="A48" s="147">
        <v>44</v>
      </c>
      <c r="B48" s="60" t="s">
        <v>69</v>
      </c>
      <c r="C48" s="152" t="s">
        <v>168</v>
      </c>
      <c r="D48" s="62" t="s">
        <v>70</v>
      </c>
      <c r="E48" s="62"/>
      <c r="F48" s="100">
        <f t="shared" ref="F48" si="24">F49</f>
        <v>935.93008999999995</v>
      </c>
      <c r="G48" s="153">
        <f t="shared" si="19"/>
        <v>935.93008999999995</v>
      </c>
      <c r="H48" s="153">
        <f t="shared" si="19"/>
        <v>179.67714999999998</v>
      </c>
      <c r="I48" s="73">
        <f t="shared" si="1"/>
        <v>756.25293999999997</v>
      </c>
      <c r="J48" s="120">
        <f t="shared" si="3"/>
        <v>19.197710589687311</v>
      </c>
      <c r="K48" s="6"/>
      <c r="L48" s="74">
        <f t="shared" si="4"/>
        <v>935930.09</v>
      </c>
      <c r="M48" s="79">
        <f t="shared" si="5"/>
        <v>935930.09</v>
      </c>
      <c r="N48" s="74">
        <f t="shared" si="6"/>
        <v>179677.15</v>
      </c>
    </row>
    <row r="49" spans="1:14" x14ac:dyDescent="0.2">
      <c r="A49" s="147">
        <v>45</v>
      </c>
      <c r="B49" s="60" t="s">
        <v>157</v>
      </c>
      <c r="C49" s="152" t="s">
        <v>168</v>
      </c>
      <c r="D49" s="62" t="s">
        <v>74</v>
      </c>
      <c r="E49" s="62"/>
      <c r="F49" s="100">
        <f>F50</f>
        <v>935.93008999999995</v>
      </c>
      <c r="G49" s="100">
        <f t="shared" si="19"/>
        <v>935.93008999999995</v>
      </c>
      <c r="H49" s="100">
        <f t="shared" si="19"/>
        <v>179.67714999999998</v>
      </c>
      <c r="I49" s="73">
        <f t="shared" si="1"/>
        <v>756.25293999999997</v>
      </c>
      <c r="J49" s="120">
        <f t="shared" si="3"/>
        <v>19.197710589687311</v>
      </c>
      <c r="K49" s="6"/>
      <c r="L49" s="74">
        <f t="shared" si="4"/>
        <v>935930.09</v>
      </c>
      <c r="M49" s="79">
        <f t="shared" si="5"/>
        <v>935930.09</v>
      </c>
      <c r="N49" s="74">
        <f t="shared" si="6"/>
        <v>179677.15</v>
      </c>
    </row>
    <row r="50" spans="1:14" x14ac:dyDescent="0.2">
      <c r="A50" s="147">
        <v>46</v>
      </c>
      <c r="B50" s="101" t="s">
        <v>281</v>
      </c>
      <c r="C50" s="152" t="s">
        <v>168</v>
      </c>
      <c r="D50" s="62" t="s">
        <v>74</v>
      </c>
      <c r="E50" s="62" t="s">
        <v>24</v>
      </c>
      <c r="F50" s="100">
        <f>F51</f>
        <v>935.93008999999995</v>
      </c>
      <c r="G50" s="100">
        <f t="shared" si="19"/>
        <v>935.93008999999995</v>
      </c>
      <c r="H50" s="100">
        <f t="shared" si="19"/>
        <v>179.67714999999998</v>
      </c>
      <c r="I50" s="73">
        <f t="shared" si="1"/>
        <v>756.25293999999997</v>
      </c>
      <c r="J50" s="120">
        <f t="shared" si="3"/>
        <v>19.197710589687311</v>
      </c>
      <c r="L50" s="74">
        <f t="shared" si="4"/>
        <v>935930.09</v>
      </c>
      <c r="M50" s="79">
        <f t="shared" si="5"/>
        <v>935930.09</v>
      </c>
      <c r="N50" s="74">
        <f t="shared" si="6"/>
        <v>179677.15</v>
      </c>
    </row>
    <row r="51" spans="1:14" ht="24" customHeight="1" x14ac:dyDescent="0.2">
      <c r="A51" s="147">
        <v>47</v>
      </c>
      <c r="B51" s="60" t="s">
        <v>18</v>
      </c>
      <c r="C51" s="152" t="s">
        <v>168</v>
      </c>
      <c r="D51" s="62" t="s">
        <v>74</v>
      </c>
      <c r="E51" s="62" t="s">
        <v>26</v>
      </c>
      <c r="F51" s="100">
        <v>935.93008999999995</v>
      </c>
      <c r="G51" s="100">
        <v>935.93008999999995</v>
      </c>
      <c r="H51" s="153">
        <f>143.49551+36.18164</f>
        <v>179.67714999999998</v>
      </c>
      <c r="I51" s="73">
        <f t="shared" si="1"/>
        <v>756.25293999999997</v>
      </c>
      <c r="J51" s="120">
        <f t="shared" si="3"/>
        <v>19.197710589687311</v>
      </c>
      <c r="L51" s="74">
        <f t="shared" si="4"/>
        <v>935930.09</v>
      </c>
      <c r="M51" s="79">
        <f t="shared" si="5"/>
        <v>935930.09</v>
      </c>
      <c r="N51" s="74">
        <f t="shared" si="6"/>
        <v>179677.15</v>
      </c>
    </row>
    <row r="52" spans="1:14" x14ac:dyDescent="0.2">
      <c r="A52" s="147">
        <v>52</v>
      </c>
      <c r="B52" s="63" t="s">
        <v>144</v>
      </c>
      <c r="C52" s="152">
        <v>6300000000</v>
      </c>
      <c r="D52" s="57"/>
      <c r="E52" s="57"/>
      <c r="F52" s="67">
        <f>F53+F66+F70</f>
        <v>5712.3517899999997</v>
      </c>
      <c r="G52" s="67">
        <f>G53+G66+G70</f>
        <v>5757.5607900000005</v>
      </c>
      <c r="H52" s="67">
        <f>H53+H66+H70</f>
        <v>1286.3563099999997</v>
      </c>
      <c r="I52" s="73">
        <f t="shared" si="1"/>
        <v>4471.2044800000003</v>
      </c>
      <c r="J52" s="120">
        <f t="shared" si="3"/>
        <v>22.342036096852041</v>
      </c>
      <c r="L52" s="74">
        <f t="shared" si="4"/>
        <v>5712351.79</v>
      </c>
      <c r="M52" s="79">
        <f t="shared" si="5"/>
        <v>5757560.79</v>
      </c>
      <c r="N52" s="74">
        <f t="shared" si="6"/>
        <v>1286356.3099999996</v>
      </c>
    </row>
    <row r="53" spans="1:14" ht="42.75" customHeight="1" x14ac:dyDescent="0.2">
      <c r="A53" s="147">
        <v>53</v>
      </c>
      <c r="B53" s="64" t="s">
        <v>158</v>
      </c>
      <c r="C53" s="152">
        <v>6300080210</v>
      </c>
      <c r="D53" s="57"/>
      <c r="E53" s="57"/>
      <c r="F53" s="67">
        <f>F54+F62+F58</f>
        <v>5610.3637899999994</v>
      </c>
      <c r="G53" s="67">
        <f t="shared" ref="G53:H53" si="25">G54+G62+G58</f>
        <v>5655.5727900000002</v>
      </c>
      <c r="H53" s="67">
        <f t="shared" si="25"/>
        <v>1234.6283099999998</v>
      </c>
      <c r="I53" s="73">
        <f t="shared" si="1"/>
        <v>4420.9444800000001</v>
      </c>
      <c r="J53" s="120">
        <f t="shared" si="3"/>
        <v>21.830296520681856</v>
      </c>
      <c r="L53" s="74">
        <f t="shared" si="4"/>
        <v>5610363.7899999991</v>
      </c>
      <c r="M53" s="79">
        <f t="shared" si="5"/>
        <v>5655572.79</v>
      </c>
      <c r="N53" s="74">
        <f t="shared" si="6"/>
        <v>1234628.3099999998</v>
      </c>
    </row>
    <row r="54" spans="1:14" ht="38.25" x14ac:dyDescent="0.2">
      <c r="A54" s="147">
        <v>54</v>
      </c>
      <c r="B54" s="60" t="s">
        <v>69</v>
      </c>
      <c r="C54" s="152">
        <v>6300080210</v>
      </c>
      <c r="D54" s="57" t="s">
        <v>70</v>
      </c>
      <c r="E54" s="57"/>
      <c r="F54" s="67">
        <f>F55</f>
        <v>4379.6148899999998</v>
      </c>
      <c r="G54" s="67">
        <f t="shared" ref="G54:H60" si="26">G55</f>
        <v>4379.6148899999998</v>
      </c>
      <c r="H54" s="67">
        <f>H55</f>
        <v>705.64123999999993</v>
      </c>
      <c r="I54" s="73">
        <f t="shared" si="1"/>
        <v>3673.9736499999999</v>
      </c>
      <c r="J54" s="120">
        <f t="shared" si="3"/>
        <v>16.111947231049804</v>
      </c>
      <c r="L54" s="74">
        <f t="shared" si="4"/>
        <v>4379614.8899999997</v>
      </c>
      <c r="M54" s="79">
        <f t="shared" si="5"/>
        <v>4379614.8899999997</v>
      </c>
      <c r="N54" s="74">
        <f t="shared" si="6"/>
        <v>705641.23999999987</v>
      </c>
    </row>
    <row r="55" spans="1:14" x14ac:dyDescent="0.2">
      <c r="A55" s="147">
        <v>55</v>
      </c>
      <c r="B55" s="60" t="s">
        <v>157</v>
      </c>
      <c r="C55" s="152">
        <v>6300080210</v>
      </c>
      <c r="D55" s="57" t="s">
        <v>74</v>
      </c>
      <c r="E55" s="57"/>
      <c r="F55" s="67">
        <f>F56</f>
        <v>4379.6148899999998</v>
      </c>
      <c r="G55" s="67">
        <f t="shared" si="26"/>
        <v>4379.6148899999998</v>
      </c>
      <c r="H55" s="67">
        <f t="shared" si="26"/>
        <v>705.64123999999993</v>
      </c>
      <c r="I55" s="73">
        <f t="shared" si="1"/>
        <v>3673.9736499999999</v>
      </c>
      <c r="J55" s="120">
        <f t="shared" si="3"/>
        <v>16.111947231049804</v>
      </c>
      <c r="L55" s="74">
        <f t="shared" si="4"/>
        <v>4379614.8899999997</v>
      </c>
      <c r="M55" s="79">
        <f t="shared" si="5"/>
        <v>4379614.8899999997</v>
      </c>
      <c r="N55" s="74">
        <f t="shared" si="6"/>
        <v>705641.23999999987</v>
      </c>
    </row>
    <row r="56" spans="1:14" x14ac:dyDescent="0.2">
      <c r="A56" s="147">
        <v>56</v>
      </c>
      <c r="B56" s="101" t="s">
        <v>281</v>
      </c>
      <c r="C56" s="152">
        <v>6300080210</v>
      </c>
      <c r="D56" s="57" t="s">
        <v>74</v>
      </c>
      <c r="E56" s="57" t="s">
        <v>24</v>
      </c>
      <c r="F56" s="67">
        <f t="shared" ref="F56" si="27">F57</f>
        <v>4379.6148899999998</v>
      </c>
      <c r="G56" s="153">
        <f t="shared" si="26"/>
        <v>4379.6148899999998</v>
      </c>
      <c r="H56" s="153">
        <f t="shared" si="26"/>
        <v>705.64123999999993</v>
      </c>
      <c r="I56" s="73">
        <f t="shared" si="1"/>
        <v>3673.9736499999999</v>
      </c>
      <c r="J56" s="120">
        <f t="shared" si="3"/>
        <v>16.111947231049804</v>
      </c>
      <c r="L56" s="74">
        <f t="shared" si="4"/>
        <v>4379614.8899999997</v>
      </c>
      <c r="M56" s="79">
        <f t="shared" si="5"/>
        <v>4379614.8899999997</v>
      </c>
      <c r="N56" s="74">
        <f t="shared" si="6"/>
        <v>705641.23999999987</v>
      </c>
    </row>
    <row r="57" spans="1:14" ht="38.25" x14ac:dyDescent="0.2">
      <c r="A57" s="147">
        <v>57</v>
      </c>
      <c r="B57" s="60" t="s">
        <v>20</v>
      </c>
      <c r="C57" s="152">
        <v>6300080210</v>
      </c>
      <c r="D57" s="57" t="s">
        <v>74</v>
      </c>
      <c r="E57" s="57" t="s">
        <v>27</v>
      </c>
      <c r="F57" s="153">
        <f>3363.75951+1015.85538</f>
        <v>4379.6148899999998</v>
      </c>
      <c r="G57" s="153">
        <f>3363.75951+1015.85538</f>
        <v>4379.6148899999998</v>
      </c>
      <c r="H57" s="153">
        <f>565.96961+139.67163</f>
        <v>705.64123999999993</v>
      </c>
      <c r="I57" s="73">
        <f t="shared" si="1"/>
        <v>3673.9736499999999</v>
      </c>
      <c r="J57" s="120">
        <f t="shared" si="3"/>
        <v>16.111947231049804</v>
      </c>
      <c r="L57" s="74">
        <f t="shared" si="4"/>
        <v>4379614.8899999997</v>
      </c>
      <c r="M57" s="79">
        <f t="shared" si="5"/>
        <v>4379614.8899999997</v>
      </c>
      <c r="N57" s="74">
        <f t="shared" si="6"/>
        <v>705641.23999999987</v>
      </c>
    </row>
    <row r="58" spans="1:14" ht="38.25" x14ac:dyDescent="0.2">
      <c r="A58" s="147">
        <v>58</v>
      </c>
      <c r="B58" s="60" t="s">
        <v>273</v>
      </c>
      <c r="C58" s="152">
        <v>6300092350</v>
      </c>
      <c r="D58" s="57" t="s">
        <v>70</v>
      </c>
      <c r="E58" s="57"/>
      <c r="F58" s="67">
        <f>F59</f>
        <v>0</v>
      </c>
      <c r="G58" s="67">
        <f t="shared" si="26"/>
        <v>18.100000000000001</v>
      </c>
      <c r="H58" s="67">
        <f t="shared" si="26"/>
        <v>9.6550000000000011</v>
      </c>
      <c r="I58" s="73">
        <f t="shared" si="1"/>
        <v>8.4450000000000003</v>
      </c>
      <c r="J58" s="120">
        <f t="shared" si="3"/>
        <v>53.342541436464089</v>
      </c>
      <c r="L58" s="74">
        <f t="shared" si="4"/>
        <v>0</v>
      </c>
      <c r="M58" s="79">
        <f t="shared" si="5"/>
        <v>18100</v>
      </c>
      <c r="N58" s="74">
        <f t="shared" si="6"/>
        <v>9655.0000000000018</v>
      </c>
    </row>
    <row r="59" spans="1:14" ht="25.5" x14ac:dyDescent="0.2">
      <c r="A59" s="147">
        <v>59</v>
      </c>
      <c r="B59" s="60" t="s">
        <v>305</v>
      </c>
      <c r="C59" s="152">
        <v>6300092350</v>
      </c>
      <c r="D59" s="57" t="s">
        <v>74</v>
      </c>
      <c r="E59" s="57"/>
      <c r="F59" s="67">
        <f>F60</f>
        <v>0</v>
      </c>
      <c r="G59" s="67">
        <f t="shared" si="26"/>
        <v>18.100000000000001</v>
      </c>
      <c r="H59" s="67">
        <f t="shared" si="26"/>
        <v>9.6550000000000011</v>
      </c>
      <c r="I59" s="73">
        <f t="shared" si="1"/>
        <v>8.4450000000000003</v>
      </c>
      <c r="J59" s="120">
        <f t="shared" si="3"/>
        <v>53.342541436464089</v>
      </c>
      <c r="L59" s="74">
        <f t="shared" si="4"/>
        <v>0</v>
      </c>
      <c r="M59" s="79">
        <f t="shared" si="5"/>
        <v>18100</v>
      </c>
      <c r="N59" s="74">
        <f t="shared" si="6"/>
        <v>9655.0000000000018</v>
      </c>
    </row>
    <row r="60" spans="1:14" x14ac:dyDescent="0.2">
      <c r="A60" s="147">
        <v>60</v>
      </c>
      <c r="B60" s="101" t="s">
        <v>281</v>
      </c>
      <c r="C60" s="152">
        <v>6300092350</v>
      </c>
      <c r="D60" s="57" t="s">
        <v>74</v>
      </c>
      <c r="E60" s="57" t="s">
        <v>24</v>
      </c>
      <c r="F60" s="67">
        <f>F61</f>
        <v>0</v>
      </c>
      <c r="G60" s="67">
        <f t="shared" si="26"/>
        <v>18.100000000000001</v>
      </c>
      <c r="H60" s="67">
        <f t="shared" si="26"/>
        <v>9.6550000000000011</v>
      </c>
      <c r="I60" s="73">
        <f t="shared" si="1"/>
        <v>8.4450000000000003</v>
      </c>
      <c r="J60" s="120">
        <f t="shared" si="3"/>
        <v>53.342541436464089</v>
      </c>
      <c r="L60" s="74">
        <f t="shared" si="4"/>
        <v>0</v>
      </c>
      <c r="M60" s="79">
        <f t="shared" si="5"/>
        <v>18100</v>
      </c>
      <c r="N60" s="74">
        <f t="shared" si="6"/>
        <v>9655.0000000000018</v>
      </c>
    </row>
    <row r="61" spans="1:14" ht="38.25" x14ac:dyDescent="0.2">
      <c r="A61" s="147">
        <v>61</v>
      </c>
      <c r="B61" s="60" t="s">
        <v>20</v>
      </c>
      <c r="C61" s="152">
        <v>6300092350</v>
      </c>
      <c r="D61" s="57" t="s">
        <v>74</v>
      </c>
      <c r="E61" s="57" t="s">
        <v>27</v>
      </c>
      <c r="F61" s="153">
        <v>0</v>
      </c>
      <c r="G61" s="153">
        <f>13.902+4.198</f>
        <v>18.100000000000001</v>
      </c>
      <c r="H61" s="153">
        <f>7.415+2.24</f>
        <v>9.6550000000000011</v>
      </c>
      <c r="I61" s="73">
        <f t="shared" si="1"/>
        <v>8.4450000000000003</v>
      </c>
      <c r="J61" s="120">
        <f t="shared" si="3"/>
        <v>53.342541436464089</v>
      </c>
      <c r="L61" s="74">
        <f t="shared" si="4"/>
        <v>0</v>
      </c>
      <c r="M61" s="79">
        <f t="shared" si="5"/>
        <v>18100</v>
      </c>
      <c r="N61" s="74">
        <f t="shared" si="6"/>
        <v>9655.0000000000018</v>
      </c>
    </row>
    <row r="62" spans="1:14" x14ac:dyDescent="0.2">
      <c r="A62" s="147">
        <v>70</v>
      </c>
      <c r="B62" s="155" t="s">
        <v>71</v>
      </c>
      <c r="C62" s="152">
        <v>6300080210</v>
      </c>
      <c r="D62" s="57" t="s">
        <v>72</v>
      </c>
      <c r="E62" s="57"/>
      <c r="F62" s="67">
        <f>F63</f>
        <v>1230.7489</v>
      </c>
      <c r="G62" s="67">
        <f>G63</f>
        <v>1257.8579</v>
      </c>
      <c r="H62" s="67">
        <f>H63</f>
        <v>519.33206999999993</v>
      </c>
      <c r="I62" s="73">
        <f t="shared" ref="I62:I114" si="28">G62-H62</f>
        <v>738.52583000000004</v>
      </c>
      <c r="J62" s="120">
        <f t="shared" si="3"/>
        <v>41.287022166812321</v>
      </c>
      <c r="L62" s="74">
        <f t="shared" ref="L62:L113" si="29">F62*1000</f>
        <v>1230748.9000000001</v>
      </c>
      <c r="M62" s="79">
        <f t="shared" ref="M62:M113" si="30">G62*1000</f>
        <v>1257857.8999999999</v>
      </c>
      <c r="N62" s="74">
        <f t="shared" ref="N62:N113" si="31">H62*1000</f>
        <v>519332.06999999995</v>
      </c>
    </row>
    <row r="63" spans="1:14" ht="25.5" x14ac:dyDescent="0.2">
      <c r="A63" s="147">
        <v>71</v>
      </c>
      <c r="B63" s="155" t="s">
        <v>156</v>
      </c>
      <c r="C63" s="152">
        <v>6300080210</v>
      </c>
      <c r="D63" s="57" t="s">
        <v>73</v>
      </c>
      <c r="E63" s="57"/>
      <c r="F63" s="67">
        <f>F64</f>
        <v>1230.7489</v>
      </c>
      <c r="G63" s="67">
        <f t="shared" ref="G63:H64" si="32">G64</f>
        <v>1257.8579</v>
      </c>
      <c r="H63" s="67">
        <f t="shared" si="32"/>
        <v>519.33206999999993</v>
      </c>
      <c r="I63" s="73">
        <f t="shared" si="28"/>
        <v>738.52583000000004</v>
      </c>
      <c r="J63" s="120">
        <f t="shared" ref="J63:J115" si="33">H63/G63*100</f>
        <v>41.287022166812321</v>
      </c>
      <c r="L63" s="74">
        <f t="shared" si="29"/>
        <v>1230748.9000000001</v>
      </c>
      <c r="M63" s="79">
        <f t="shared" si="30"/>
        <v>1257857.8999999999</v>
      </c>
      <c r="N63" s="74">
        <f t="shared" si="31"/>
        <v>519332.06999999995</v>
      </c>
    </row>
    <row r="64" spans="1:14" x14ac:dyDescent="0.2">
      <c r="A64" s="147">
        <v>72</v>
      </c>
      <c r="B64" s="101" t="s">
        <v>281</v>
      </c>
      <c r="C64" s="152">
        <v>6300080210</v>
      </c>
      <c r="D64" s="57" t="s">
        <v>73</v>
      </c>
      <c r="E64" s="57" t="s">
        <v>24</v>
      </c>
      <c r="F64" s="67">
        <f>F65</f>
        <v>1230.7489</v>
      </c>
      <c r="G64" s="67">
        <f t="shared" si="32"/>
        <v>1257.8579</v>
      </c>
      <c r="H64" s="67">
        <f t="shared" si="32"/>
        <v>519.33206999999993</v>
      </c>
      <c r="I64" s="73">
        <f t="shared" si="28"/>
        <v>738.52583000000004</v>
      </c>
      <c r="J64" s="120">
        <f t="shared" si="33"/>
        <v>41.287022166812321</v>
      </c>
      <c r="L64" s="74">
        <f t="shared" si="29"/>
        <v>1230748.9000000001</v>
      </c>
      <c r="M64" s="79">
        <f t="shared" si="30"/>
        <v>1257857.8999999999</v>
      </c>
      <c r="N64" s="74">
        <f t="shared" si="31"/>
        <v>519332.06999999995</v>
      </c>
    </row>
    <row r="65" spans="1:14" ht="39.75" customHeight="1" x14ac:dyDescent="0.2">
      <c r="A65" s="147">
        <v>73</v>
      </c>
      <c r="B65" s="60" t="s">
        <v>20</v>
      </c>
      <c r="C65" s="152">
        <v>6300080210</v>
      </c>
      <c r="D65" s="57" t="s">
        <v>73</v>
      </c>
      <c r="E65" s="57" t="s">
        <v>27</v>
      </c>
      <c r="F65" s="153">
        <f>52.726+22.47176+1020+7.5+16.8+11.25114+100</f>
        <v>1230.7489</v>
      </c>
      <c r="G65" s="153">
        <f>237.8579+1020</f>
        <v>1257.8579</v>
      </c>
      <c r="H65" s="153">
        <f>84.06056+435.27151</f>
        <v>519.33206999999993</v>
      </c>
      <c r="I65" s="73">
        <f t="shared" si="28"/>
        <v>738.52583000000004</v>
      </c>
      <c r="J65" s="120">
        <f t="shared" si="33"/>
        <v>41.287022166812321</v>
      </c>
      <c r="L65" s="74">
        <f t="shared" si="29"/>
        <v>1230748.9000000001</v>
      </c>
      <c r="M65" s="79">
        <f t="shared" si="30"/>
        <v>1257857.8999999999</v>
      </c>
      <c r="N65" s="74">
        <f t="shared" si="31"/>
        <v>519332.06999999995</v>
      </c>
    </row>
    <row r="66" spans="1:14" x14ac:dyDescent="0.2">
      <c r="A66" s="147">
        <v>74</v>
      </c>
      <c r="B66" s="151" t="s">
        <v>162</v>
      </c>
      <c r="C66" s="152">
        <v>6300080620</v>
      </c>
      <c r="D66" s="57" t="s">
        <v>161</v>
      </c>
      <c r="E66" s="57"/>
      <c r="F66" s="67">
        <f>F67</f>
        <v>98.546000000000006</v>
      </c>
      <c r="G66" s="67">
        <f t="shared" ref="G66:H68" si="34">G67</f>
        <v>98.546000000000006</v>
      </c>
      <c r="H66" s="67">
        <f t="shared" si="34"/>
        <v>49.273000000000003</v>
      </c>
      <c r="I66" s="73">
        <f t="shared" si="28"/>
        <v>49.273000000000003</v>
      </c>
      <c r="J66" s="120">
        <f t="shared" si="33"/>
        <v>50</v>
      </c>
      <c r="L66" s="74">
        <f t="shared" si="29"/>
        <v>98546</v>
      </c>
      <c r="M66" s="79">
        <f t="shared" si="30"/>
        <v>98546</v>
      </c>
      <c r="N66" s="74">
        <f t="shared" si="31"/>
        <v>49273</v>
      </c>
    </row>
    <row r="67" spans="1:14" x14ac:dyDescent="0.2">
      <c r="A67" s="147">
        <v>75</v>
      </c>
      <c r="B67" s="151" t="s">
        <v>56</v>
      </c>
      <c r="C67" s="152">
        <v>6300080620</v>
      </c>
      <c r="D67" s="57" t="s">
        <v>80</v>
      </c>
      <c r="E67" s="57"/>
      <c r="F67" s="67">
        <f>F68</f>
        <v>98.546000000000006</v>
      </c>
      <c r="G67" s="67">
        <f t="shared" si="34"/>
        <v>98.546000000000006</v>
      </c>
      <c r="H67" s="67">
        <f t="shared" si="34"/>
        <v>49.273000000000003</v>
      </c>
      <c r="I67" s="73">
        <f t="shared" si="28"/>
        <v>49.273000000000003</v>
      </c>
      <c r="J67" s="120">
        <f t="shared" si="33"/>
        <v>50</v>
      </c>
      <c r="L67" s="74">
        <f t="shared" si="29"/>
        <v>98546</v>
      </c>
      <c r="M67" s="79">
        <f t="shared" si="30"/>
        <v>98546</v>
      </c>
      <c r="N67" s="74">
        <f t="shared" si="31"/>
        <v>49273</v>
      </c>
    </row>
    <row r="68" spans="1:14" x14ac:dyDescent="0.2">
      <c r="A68" s="147">
        <v>76</v>
      </c>
      <c r="B68" s="101" t="s">
        <v>281</v>
      </c>
      <c r="C68" s="152">
        <v>6300080620</v>
      </c>
      <c r="D68" s="57" t="s">
        <v>80</v>
      </c>
      <c r="E68" s="57" t="s">
        <v>24</v>
      </c>
      <c r="F68" s="67">
        <f>F69</f>
        <v>98.546000000000006</v>
      </c>
      <c r="G68" s="67">
        <f t="shared" si="34"/>
        <v>98.546000000000006</v>
      </c>
      <c r="H68" s="67">
        <f t="shared" si="34"/>
        <v>49.273000000000003</v>
      </c>
      <c r="I68" s="73">
        <f t="shared" si="28"/>
        <v>49.273000000000003</v>
      </c>
      <c r="J68" s="120">
        <f t="shared" si="33"/>
        <v>50</v>
      </c>
      <c r="L68" s="74">
        <f t="shared" si="29"/>
        <v>98546</v>
      </c>
      <c r="M68" s="79">
        <f t="shared" si="30"/>
        <v>98546</v>
      </c>
      <c r="N68" s="74">
        <f t="shared" si="31"/>
        <v>49273</v>
      </c>
    </row>
    <row r="69" spans="1:14" ht="38.25" x14ac:dyDescent="0.2">
      <c r="A69" s="147">
        <v>77</v>
      </c>
      <c r="B69" s="60" t="s">
        <v>20</v>
      </c>
      <c r="C69" s="152">
        <v>6300080620</v>
      </c>
      <c r="D69" s="57" t="s">
        <v>80</v>
      </c>
      <c r="E69" s="57" t="s">
        <v>27</v>
      </c>
      <c r="F69" s="153">
        <v>98.546000000000006</v>
      </c>
      <c r="G69" s="153">
        <v>98.546000000000006</v>
      </c>
      <c r="H69" s="153">
        <v>49.273000000000003</v>
      </c>
      <c r="I69" s="73">
        <f t="shared" si="28"/>
        <v>49.273000000000003</v>
      </c>
      <c r="J69" s="120">
        <f t="shared" si="33"/>
        <v>50</v>
      </c>
      <c r="L69" s="74">
        <f t="shared" si="29"/>
        <v>98546</v>
      </c>
      <c r="M69" s="79">
        <f t="shared" si="30"/>
        <v>98546</v>
      </c>
      <c r="N69" s="74">
        <f t="shared" si="31"/>
        <v>49273</v>
      </c>
    </row>
    <row r="70" spans="1:14" x14ac:dyDescent="0.2">
      <c r="A70" s="147">
        <v>78</v>
      </c>
      <c r="B70" s="151" t="s">
        <v>221</v>
      </c>
      <c r="C70" s="152">
        <v>6300080620</v>
      </c>
      <c r="D70" s="57" t="s">
        <v>226</v>
      </c>
      <c r="E70" s="57"/>
      <c r="F70" s="67">
        <f>F71</f>
        <v>3.4420000000000002</v>
      </c>
      <c r="G70" s="153">
        <f t="shared" ref="G70:H72" si="35">G71</f>
        <v>3.4420000000000002</v>
      </c>
      <c r="H70" s="153">
        <f t="shared" si="35"/>
        <v>2.4550000000000001</v>
      </c>
      <c r="I70" s="73">
        <f t="shared" si="28"/>
        <v>0.9870000000000001</v>
      </c>
      <c r="J70" s="120">
        <f t="shared" si="33"/>
        <v>71.324811156304463</v>
      </c>
      <c r="L70" s="74">
        <f t="shared" si="29"/>
        <v>3442</v>
      </c>
      <c r="M70" s="79">
        <f t="shared" si="30"/>
        <v>3442</v>
      </c>
      <c r="N70" s="74">
        <f t="shared" si="31"/>
        <v>2455</v>
      </c>
    </row>
    <row r="71" spans="1:14" x14ac:dyDescent="0.2">
      <c r="A71" s="147">
        <v>79</v>
      </c>
      <c r="B71" s="151" t="s">
        <v>164</v>
      </c>
      <c r="C71" s="152">
        <v>6300080620</v>
      </c>
      <c r="D71" s="57" t="s">
        <v>163</v>
      </c>
      <c r="E71" s="57"/>
      <c r="F71" s="67">
        <f>F72</f>
        <v>3.4420000000000002</v>
      </c>
      <c r="G71" s="153">
        <f t="shared" si="35"/>
        <v>3.4420000000000002</v>
      </c>
      <c r="H71" s="153">
        <f t="shared" si="35"/>
        <v>2.4550000000000001</v>
      </c>
      <c r="I71" s="73">
        <f t="shared" si="28"/>
        <v>0.9870000000000001</v>
      </c>
      <c r="J71" s="120">
        <f t="shared" si="33"/>
        <v>71.324811156304463</v>
      </c>
      <c r="L71" s="74">
        <f t="shared" si="29"/>
        <v>3442</v>
      </c>
      <c r="M71" s="79">
        <f t="shared" si="30"/>
        <v>3442</v>
      </c>
      <c r="N71" s="74">
        <f t="shared" si="31"/>
        <v>2455</v>
      </c>
    </row>
    <row r="72" spans="1:14" x14ac:dyDescent="0.2">
      <c r="A72" s="147">
        <v>80</v>
      </c>
      <c r="B72" s="101" t="s">
        <v>281</v>
      </c>
      <c r="C72" s="152">
        <v>6300080620</v>
      </c>
      <c r="D72" s="57" t="s">
        <v>163</v>
      </c>
      <c r="E72" s="57" t="s">
        <v>24</v>
      </c>
      <c r="F72" s="67">
        <f>F73</f>
        <v>3.4420000000000002</v>
      </c>
      <c r="G72" s="67">
        <f t="shared" si="35"/>
        <v>3.4420000000000002</v>
      </c>
      <c r="H72" s="67">
        <f t="shared" si="35"/>
        <v>2.4550000000000001</v>
      </c>
      <c r="I72" s="73">
        <f t="shared" si="28"/>
        <v>0.9870000000000001</v>
      </c>
      <c r="J72" s="120">
        <f t="shared" si="33"/>
        <v>71.324811156304463</v>
      </c>
      <c r="L72" s="74">
        <f t="shared" si="29"/>
        <v>3442</v>
      </c>
      <c r="M72" s="79">
        <f t="shared" si="30"/>
        <v>3442</v>
      </c>
      <c r="N72" s="74">
        <f t="shared" si="31"/>
        <v>2455</v>
      </c>
    </row>
    <row r="73" spans="1:14" ht="38.25" x14ac:dyDescent="0.2">
      <c r="A73" s="147">
        <v>81</v>
      </c>
      <c r="B73" s="60" t="s">
        <v>20</v>
      </c>
      <c r="C73" s="152">
        <v>6300080620</v>
      </c>
      <c r="D73" s="57" t="s">
        <v>163</v>
      </c>
      <c r="E73" s="57" t="s">
        <v>27</v>
      </c>
      <c r="F73" s="153">
        <f>2.942+0.5</f>
        <v>3.4420000000000002</v>
      </c>
      <c r="G73" s="153">
        <f>0.5+2.942</f>
        <v>3.4420000000000002</v>
      </c>
      <c r="H73" s="153">
        <v>2.4550000000000001</v>
      </c>
      <c r="I73" s="73">
        <f t="shared" si="28"/>
        <v>0.9870000000000001</v>
      </c>
      <c r="J73" s="120">
        <f t="shared" si="33"/>
        <v>71.324811156304463</v>
      </c>
      <c r="L73" s="74">
        <f t="shared" si="29"/>
        <v>3442</v>
      </c>
      <c r="M73" s="79">
        <f t="shared" si="30"/>
        <v>3442</v>
      </c>
      <c r="N73" s="74">
        <f t="shared" si="31"/>
        <v>2455</v>
      </c>
    </row>
    <row r="74" spans="1:14" x14ac:dyDescent="0.2">
      <c r="A74" s="147">
        <v>82</v>
      </c>
      <c r="B74" s="65" t="s">
        <v>144</v>
      </c>
      <c r="C74" s="18">
        <v>6400000000</v>
      </c>
      <c r="D74" s="57"/>
      <c r="E74" s="57"/>
      <c r="F74" s="153">
        <f>F75</f>
        <v>10</v>
      </c>
      <c r="G74" s="153">
        <f t="shared" ref="G74:H77" si="36">G75</f>
        <v>10</v>
      </c>
      <c r="H74" s="153">
        <f t="shared" si="36"/>
        <v>0</v>
      </c>
      <c r="I74" s="73">
        <f t="shared" si="28"/>
        <v>10</v>
      </c>
      <c r="J74" s="120">
        <f t="shared" si="33"/>
        <v>0</v>
      </c>
      <c r="L74" s="74">
        <f t="shared" si="29"/>
        <v>10000</v>
      </c>
      <c r="M74" s="79">
        <f t="shared" si="30"/>
        <v>10000</v>
      </c>
      <c r="N74" s="74">
        <f t="shared" si="31"/>
        <v>0</v>
      </c>
    </row>
    <row r="75" spans="1:14" ht="25.5" x14ac:dyDescent="0.2">
      <c r="A75" s="147">
        <v>83</v>
      </c>
      <c r="B75" s="102" t="s">
        <v>306</v>
      </c>
      <c r="C75" s="18">
        <v>6400080000</v>
      </c>
      <c r="D75" s="103" t="s">
        <v>154</v>
      </c>
      <c r="E75" s="103" t="s">
        <v>154</v>
      </c>
      <c r="F75" s="153">
        <f t="shared" ref="F75:H78" si="37">F76</f>
        <v>10</v>
      </c>
      <c r="G75" s="153">
        <f t="shared" si="36"/>
        <v>10</v>
      </c>
      <c r="H75" s="153">
        <f t="shared" si="36"/>
        <v>0</v>
      </c>
      <c r="I75" s="73">
        <f t="shared" si="28"/>
        <v>10</v>
      </c>
      <c r="J75" s="120">
        <f t="shared" si="33"/>
        <v>0</v>
      </c>
      <c r="L75" s="74">
        <f t="shared" si="29"/>
        <v>10000</v>
      </c>
      <c r="M75" s="79">
        <f t="shared" si="30"/>
        <v>10000</v>
      </c>
      <c r="N75" s="74">
        <f t="shared" si="31"/>
        <v>0</v>
      </c>
    </row>
    <row r="76" spans="1:14" x14ac:dyDescent="0.2">
      <c r="A76" s="147">
        <v>84</v>
      </c>
      <c r="B76" s="101" t="s">
        <v>221</v>
      </c>
      <c r="C76" s="18">
        <v>6400080210</v>
      </c>
      <c r="D76" s="103" t="s">
        <v>226</v>
      </c>
      <c r="E76" s="103" t="s">
        <v>154</v>
      </c>
      <c r="F76" s="153">
        <f>F77</f>
        <v>10</v>
      </c>
      <c r="G76" s="153">
        <f t="shared" si="36"/>
        <v>10</v>
      </c>
      <c r="H76" s="153">
        <f t="shared" si="36"/>
        <v>0</v>
      </c>
      <c r="I76" s="73">
        <f t="shared" si="28"/>
        <v>10</v>
      </c>
      <c r="J76" s="120">
        <f t="shared" si="33"/>
        <v>0</v>
      </c>
      <c r="L76" s="74">
        <f t="shared" si="29"/>
        <v>10000</v>
      </c>
      <c r="M76" s="79">
        <f t="shared" si="30"/>
        <v>10000</v>
      </c>
      <c r="N76" s="74">
        <f t="shared" si="31"/>
        <v>0</v>
      </c>
    </row>
    <row r="77" spans="1:14" x14ac:dyDescent="0.2">
      <c r="A77" s="147">
        <v>85</v>
      </c>
      <c r="B77" s="101" t="s">
        <v>222</v>
      </c>
      <c r="C77" s="18">
        <v>6400080210</v>
      </c>
      <c r="D77" s="103" t="s">
        <v>227</v>
      </c>
      <c r="E77" s="103" t="s">
        <v>154</v>
      </c>
      <c r="F77" s="153">
        <f>F78</f>
        <v>10</v>
      </c>
      <c r="G77" s="153">
        <f t="shared" si="36"/>
        <v>10</v>
      </c>
      <c r="H77" s="153">
        <f t="shared" si="36"/>
        <v>0</v>
      </c>
      <c r="I77" s="73">
        <f t="shared" si="28"/>
        <v>10</v>
      </c>
      <c r="J77" s="120">
        <f t="shared" si="33"/>
        <v>0</v>
      </c>
      <c r="L77" s="74">
        <f t="shared" si="29"/>
        <v>10000</v>
      </c>
      <c r="M77" s="79">
        <f t="shared" si="30"/>
        <v>10000</v>
      </c>
      <c r="N77" s="74">
        <f t="shared" si="31"/>
        <v>0</v>
      </c>
    </row>
    <row r="78" spans="1:14" x14ac:dyDescent="0.2">
      <c r="A78" s="147">
        <v>86</v>
      </c>
      <c r="B78" s="101" t="s">
        <v>281</v>
      </c>
      <c r="C78" s="18">
        <v>6400080210</v>
      </c>
      <c r="D78" s="103" t="s">
        <v>227</v>
      </c>
      <c r="E78" s="103" t="s">
        <v>24</v>
      </c>
      <c r="F78" s="153">
        <f t="shared" si="37"/>
        <v>10</v>
      </c>
      <c r="G78" s="153">
        <f t="shared" si="37"/>
        <v>10</v>
      </c>
      <c r="H78" s="153">
        <f t="shared" si="37"/>
        <v>0</v>
      </c>
      <c r="I78" s="73">
        <f t="shared" si="28"/>
        <v>10</v>
      </c>
      <c r="J78" s="120">
        <f t="shared" si="33"/>
        <v>0</v>
      </c>
      <c r="L78" s="74">
        <f t="shared" si="29"/>
        <v>10000</v>
      </c>
      <c r="M78" s="79">
        <f t="shared" si="30"/>
        <v>10000</v>
      </c>
      <c r="N78" s="74">
        <f t="shared" si="31"/>
        <v>0</v>
      </c>
    </row>
    <row r="79" spans="1:14" x14ac:dyDescent="0.2">
      <c r="A79" s="147">
        <v>87</v>
      </c>
      <c r="B79" s="101" t="s">
        <v>217</v>
      </c>
      <c r="C79" s="18">
        <v>6400080210</v>
      </c>
      <c r="D79" s="103" t="s">
        <v>227</v>
      </c>
      <c r="E79" s="103" t="s">
        <v>218</v>
      </c>
      <c r="F79" s="153">
        <v>10</v>
      </c>
      <c r="G79" s="153">
        <v>10</v>
      </c>
      <c r="H79" s="153">
        <v>0</v>
      </c>
      <c r="I79" s="73">
        <f t="shared" si="28"/>
        <v>10</v>
      </c>
      <c r="J79" s="120">
        <f t="shared" si="33"/>
        <v>0</v>
      </c>
      <c r="L79" s="74">
        <f t="shared" si="29"/>
        <v>10000</v>
      </c>
      <c r="M79" s="79">
        <f t="shared" si="30"/>
        <v>10000</v>
      </c>
      <c r="N79" s="74">
        <f t="shared" si="31"/>
        <v>0</v>
      </c>
    </row>
    <row r="80" spans="1:14" x14ac:dyDescent="0.2">
      <c r="A80" s="147">
        <v>88</v>
      </c>
      <c r="B80" s="65" t="s">
        <v>144</v>
      </c>
      <c r="C80" s="18">
        <v>6400000000</v>
      </c>
      <c r="D80" s="40"/>
      <c r="E80" s="40"/>
      <c r="F80" s="67">
        <f>F90+F81+F95</f>
        <v>1869.1174699999999</v>
      </c>
      <c r="G80" s="67">
        <f>G90+G81+G95</f>
        <v>1936.4214299999999</v>
      </c>
      <c r="H80" s="67">
        <f>H90+H81+H95</f>
        <v>428.34138999999999</v>
      </c>
      <c r="I80" s="73">
        <f t="shared" si="28"/>
        <v>1508.0800399999998</v>
      </c>
      <c r="J80" s="120">
        <f t="shared" si="33"/>
        <v>22.12025664268754</v>
      </c>
      <c r="L80" s="74">
        <f t="shared" si="29"/>
        <v>1869117.47</v>
      </c>
      <c r="M80" s="79">
        <f t="shared" si="30"/>
        <v>1936421.43</v>
      </c>
      <c r="N80" s="74">
        <f t="shared" si="31"/>
        <v>428341.39</v>
      </c>
    </row>
    <row r="81" spans="1:14" x14ac:dyDescent="0.2">
      <c r="A81" s="147">
        <v>89</v>
      </c>
      <c r="B81" s="64" t="s">
        <v>223</v>
      </c>
      <c r="C81" s="154" t="s">
        <v>228</v>
      </c>
      <c r="D81" s="57"/>
      <c r="E81" s="57"/>
      <c r="F81" s="67">
        <f>F82+F86</f>
        <v>1854.38347</v>
      </c>
      <c r="G81" s="67">
        <f t="shared" ref="G81:H81" si="38">G82+G86</f>
        <v>1921.6874299999999</v>
      </c>
      <c r="H81" s="67">
        <f t="shared" si="38"/>
        <v>428.34138999999999</v>
      </c>
      <c r="I81" s="73">
        <f t="shared" si="28"/>
        <v>1493.3460399999999</v>
      </c>
      <c r="J81" s="120">
        <f t="shared" si="33"/>
        <v>22.28985751340425</v>
      </c>
      <c r="L81" s="74">
        <f t="shared" si="29"/>
        <v>1854383.47</v>
      </c>
      <c r="M81" s="79">
        <f t="shared" si="30"/>
        <v>1921687.43</v>
      </c>
      <c r="N81" s="74">
        <f t="shared" si="31"/>
        <v>428341.39</v>
      </c>
    </row>
    <row r="82" spans="1:14" ht="38.25" x14ac:dyDescent="0.2">
      <c r="A82" s="147">
        <v>90</v>
      </c>
      <c r="B82" s="60" t="s">
        <v>69</v>
      </c>
      <c r="C82" s="154" t="s">
        <v>224</v>
      </c>
      <c r="D82" s="57" t="s">
        <v>70</v>
      </c>
      <c r="E82" s="57"/>
      <c r="F82" s="67">
        <f>F83</f>
        <v>1621.44247</v>
      </c>
      <c r="G82" s="67">
        <f t="shared" ref="F82:H84" si="39">G83</f>
        <v>1621.44247</v>
      </c>
      <c r="H82" s="67">
        <f t="shared" si="39"/>
        <v>331.34553</v>
      </c>
      <c r="I82" s="73">
        <f t="shared" si="28"/>
        <v>1290.0969399999999</v>
      </c>
      <c r="J82" s="120">
        <f t="shared" si="33"/>
        <v>20.435231969716448</v>
      </c>
      <c r="L82" s="74">
        <f t="shared" si="29"/>
        <v>1621442.47</v>
      </c>
      <c r="M82" s="79">
        <f t="shared" si="30"/>
        <v>1621442.47</v>
      </c>
      <c r="N82" s="74">
        <f t="shared" si="31"/>
        <v>331345.52999999997</v>
      </c>
    </row>
    <row r="83" spans="1:14" x14ac:dyDescent="0.2">
      <c r="A83" s="147">
        <v>91</v>
      </c>
      <c r="B83" s="60" t="s">
        <v>157</v>
      </c>
      <c r="C83" s="154" t="s">
        <v>224</v>
      </c>
      <c r="D83" s="57" t="s">
        <v>74</v>
      </c>
      <c r="E83" s="57"/>
      <c r="F83" s="67">
        <f t="shared" si="39"/>
        <v>1621.44247</v>
      </c>
      <c r="G83" s="153">
        <f>G84</f>
        <v>1621.44247</v>
      </c>
      <c r="H83" s="153">
        <f t="shared" si="39"/>
        <v>331.34553</v>
      </c>
      <c r="I83" s="73">
        <f t="shared" si="28"/>
        <v>1290.0969399999999</v>
      </c>
      <c r="J83" s="120">
        <f t="shared" si="33"/>
        <v>20.435231969716448</v>
      </c>
      <c r="L83" s="74">
        <f t="shared" si="29"/>
        <v>1621442.47</v>
      </c>
      <c r="M83" s="79">
        <f t="shared" si="30"/>
        <v>1621442.47</v>
      </c>
      <c r="N83" s="74">
        <f t="shared" si="31"/>
        <v>331345.52999999997</v>
      </c>
    </row>
    <row r="84" spans="1:14" x14ac:dyDescent="0.2">
      <c r="A84" s="147">
        <v>92</v>
      </c>
      <c r="B84" s="101" t="s">
        <v>281</v>
      </c>
      <c r="C84" s="154" t="s">
        <v>224</v>
      </c>
      <c r="D84" s="57" t="s">
        <v>74</v>
      </c>
      <c r="E84" s="57" t="s">
        <v>24</v>
      </c>
      <c r="F84" s="67">
        <f t="shared" si="39"/>
        <v>1621.44247</v>
      </c>
      <c r="G84" s="67">
        <f t="shared" si="39"/>
        <v>1621.44247</v>
      </c>
      <c r="H84" s="67">
        <f>H85</f>
        <v>331.34553</v>
      </c>
      <c r="I84" s="73">
        <f t="shared" si="28"/>
        <v>1290.0969399999999</v>
      </c>
      <c r="J84" s="120">
        <f t="shared" si="33"/>
        <v>20.435231969716448</v>
      </c>
      <c r="L84" s="74">
        <f t="shared" si="29"/>
        <v>1621442.47</v>
      </c>
      <c r="M84" s="79">
        <f t="shared" si="30"/>
        <v>1621442.47</v>
      </c>
      <c r="N84" s="74">
        <f t="shared" si="31"/>
        <v>331345.52999999997</v>
      </c>
    </row>
    <row r="85" spans="1:14" x14ac:dyDescent="0.2">
      <c r="A85" s="147">
        <v>93</v>
      </c>
      <c r="B85" s="58" t="s">
        <v>143</v>
      </c>
      <c r="C85" s="154" t="s">
        <v>224</v>
      </c>
      <c r="D85" s="57" t="s">
        <v>74</v>
      </c>
      <c r="E85" s="57" t="s">
        <v>57</v>
      </c>
      <c r="F85" s="153">
        <f>1245.34752+376.09495</f>
        <v>1621.44247</v>
      </c>
      <c r="G85" s="153">
        <f>1245.34752+376.09495</f>
        <v>1621.44247</v>
      </c>
      <c r="H85" s="153">
        <f>280.54688+50.79865</f>
        <v>331.34553</v>
      </c>
      <c r="I85" s="73">
        <f t="shared" si="28"/>
        <v>1290.0969399999999</v>
      </c>
      <c r="J85" s="120">
        <f t="shared" si="33"/>
        <v>20.435231969716448</v>
      </c>
      <c r="L85" s="74">
        <f t="shared" si="29"/>
        <v>1621442.47</v>
      </c>
      <c r="M85" s="79">
        <f t="shared" si="30"/>
        <v>1621442.47</v>
      </c>
      <c r="N85" s="74">
        <f t="shared" si="31"/>
        <v>331345.52999999997</v>
      </c>
    </row>
    <row r="86" spans="1:14" x14ac:dyDescent="0.2">
      <c r="A86" s="147">
        <v>98</v>
      </c>
      <c r="B86" s="155" t="s">
        <v>71</v>
      </c>
      <c r="C86" s="154" t="s">
        <v>224</v>
      </c>
      <c r="D86" s="57" t="s">
        <v>72</v>
      </c>
      <c r="E86" s="57"/>
      <c r="F86" s="67">
        <f>F87</f>
        <v>232.94099999999997</v>
      </c>
      <c r="G86" s="153">
        <f t="shared" ref="G86:H88" si="40">G87</f>
        <v>300.24495999999999</v>
      </c>
      <c r="H86" s="153">
        <f t="shared" si="40"/>
        <v>96.995859999999993</v>
      </c>
      <c r="I86" s="73">
        <f t="shared" si="28"/>
        <v>203.2491</v>
      </c>
      <c r="J86" s="120">
        <f t="shared" si="33"/>
        <v>32.30557475469363</v>
      </c>
      <c r="L86" s="74">
        <f t="shared" si="29"/>
        <v>232940.99999999997</v>
      </c>
      <c r="M86" s="79">
        <f t="shared" si="30"/>
        <v>300244.95999999996</v>
      </c>
      <c r="N86" s="74">
        <f t="shared" si="31"/>
        <v>96995.859999999986</v>
      </c>
    </row>
    <row r="87" spans="1:14" ht="27.75" customHeight="1" x14ac:dyDescent="0.2">
      <c r="A87" s="147">
        <v>99</v>
      </c>
      <c r="B87" s="155" t="s">
        <v>156</v>
      </c>
      <c r="C87" s="154" t="s">
        <v>224</v>
      </c>
      <c r="D87" s="57" t="s">
        <v>73</v>
      </c>
      <c r="E87" s="57"/>
      <c r="F87" s="67">
        <f>F88</f>
        <v>232.94099999999997</v>
      </c>
      <c r="G87" s="153">
        <f t="shared" si="40"/>
        <v>300.24495999999999</v>
      </c>
      <c r="H87" s="153">
        <f t="shared" si="40"/>
        <v>96.995859999999993</v>
      </c>
      <c r="I87" s="73">
        <f t="shared" si="28"/>
        <v>203.2491</v>
      </c>
      <c r="J87" s="120">
        <f t="shared" si="33"/>
        <v>32.30557475469363</v>
      </c>
      <c r="L87" s="74">
        <f t="shared" si="29"/>
        <v>232940.99999999997</v>
      </c>
      <c r="M87" s="79">
        <f t="shared" si="30"/>
        <v>300244.95999999996</v>
      </c>
      <c r="N87" s="74">
        <f t="shared" si="31"/>
        <v>96995.859999999986</v>
      </c>
    </row>
    <row r="88" spans="1:14" x14ac:dyDescent="0.2">
      <c r="A88" s="147">
        <v>100</v>
      </c>
      <c r="B88" s="101" t="s">
        <v>281</v>
      </c>
      <c r="C88" s="154" t="s">
        <v>224</v>
      </c>
      <c r="D88" s="57" t="s">
        <v>73</v>
      </c>
      <c r="E88" s="57" t="s">
        <v>24</v>
      </c>
      <c r="F88" s="67">
        <f>F89</f>
        <v>232.94099999999997</v>
      </c>
      <c r="G88" s="67">
        <f t="shared" si="40"/>
        <v>300.24495999999999</v>
      </c>
      <c r="H88" s="67">
        <f t="shared" si="40"/>
        <v>96.995859999999993</v>
      </c>
      <c r="I88" s="73">
        <f t="shared" si="28"/>
        <v>203.2491</v>
      </c>
      <c r="J88" s="120">
        <f t="shared" si="33"/>
        <v>32.30557475469363</v>
      </c>
      <c r="L88" s="74">
        <f t="shared" si="29"/>
        <v>232940.99999999997</v>
      </c>
      <c r="M88" s="79">
        <f t="shared" si="30"/>
        <v>300244.95999999996</v>
      </c>
      <c r="N88" s="74">
        <f t="shared" si="31"/>
        <v>96995.859999999986</v>
      </c>
    </row>
    <row r="89" spans="1:14" x14ac:dyDescent="0.2">
      <c r="A89" s="147">
        <v>101</v>
      </c>
      <c r="B89" s="58" t="s">
        <v>143</v>
      </c>
      <c r="C89" s="154" t="s">
        <v>224</v>
      </c>
      <c r="D89" s="57" t="s">
        <v>73</v>
      </c>
      <c r="E89" s="57" t="s">
        <v>57</v>
      </c>
      <c r="F89" s="153">
        <f>58.527+6+168.414</f>
        <v>232.94099999999997</v>
      </c>
      <c r="G89" s="153">
        <f>300.24496</f>
        <v>300.24495999999999</v>
      </c>
      <c r="H89" s="153">
        <v>96.995859999999993</v>
      </c>
      <c r="I89" s="73">
        <f t="shared" si="28"/>
        <v>203.2491</v>
      </c>
      <c r="J89" s="120">
        <f t="shared" si="33"/>
        <v>32.30557475469363</v>
      </c>
      <c r="L89" s="74">
        <f t="shared" si="29"/>
        <v>232940.99999999997</v>
      </c>
      <c r="M89" s="79">
        <f t="shared" si="30"/>
        <v>300244.95999999996</v>
      </c>
      <c r="N89" s="74">
        <f t="shared" si="31"/>
        <v>96995.859999999986</v>
      </c>
    </row>
    <row r="90" spans="1:14" ht="25.5" x14ac:dyDescent="0.2">
      <c r="A90" s="147">
        <v>102</v>
      </c>
      <c r="B90" s="60" t="s">
        <v>159</v>
      </c>
      <c r="C90" s="152">
        <v>6400075140</v>
      </c>
      <c r="D90" s="57"/>
      <c r="E90" s="57"/>
      <c r="F90" s="67">
        <f t="shared" ref="F90:H93" si="41">F91</f>
        <v>14.734</v>
      </c>
      <c r="G90" s="67">
        <f t="shared" si="41"/>
        <v>14.734</v>
      </c>
      <c r="H90" s="67">
        <f t="shared" si="41"/>
        <v>0</v>
      </c>
      <c r="I90" s="73">
        <f t="shared" si="28"/>
        <v>14.734</v>
      </c>
      <c r="J90" s="120">
        <f t="shared" si="33"/>
        <v>0</v>
      </c>
      <c r="L90" s="74">
        <f t="shared" si="29"/>
        <v>14734</v>
      </c>
      <c r="M90" s="79">
        <f t="shared" si="30"/>
        <v>14734</v>
      </c>
      <c r="N90" s="74">
        <f t="shared" si="31"/>
        <v>0</v>
      </c>
    </row>
    <row r="91" spans="1:14" x14ac:dyDescent="0.2">
      <c r="A91" s="147">
        <v>103</v>
      </c>
      <c r="B91" s="155" t="s">
        <v>71</v>
      </c>
      <c r="C91" s="152">
        <v>6400075140</v>
      </c>
      <c r="D91" s="57" t="s">
        <v>72</v>
      </c>
      <c r="E91" s="57"/>
      <c r="F91" s="67">
        <f>F92</f>
        <v>14.734</v>
      </c>
      <c r="G91" s="67">
        <f t="shared" si="41"/>
        <v>14.734</v>
      </c>
      <c r="H91" s="67">
        <f t="shared" si="41"/>
        <v>0</v>
      </c>
      <c r="I91" s="73">
        <f t="shared" si="28"/>
        <v>14.734</v>
      </c>
      <c r="J91" s="120">
        <f t="shared" si="33"/>
        <v>0</v>
      </c>
      <c r="L91" s="74">
        <f t="shared" si="29"/>
        <v>14734</v>
      </c>
      <c r="M91" s="79">
        <f t="shared" si="30"/>
        <v>14734</v>
      </c>
      <c r="N91" s="74">
        <f t="shared" si="31"/>
        <v>0</v>
      </c>
    </row>
    <row r="92" spans="1:14" ht="25.5" x14ac:dyDescent="0.2">
      <c r="A92" s="147">
        <v>104</v>
      </c>
      <c r="B92" s="155" t="s">
        <v>156</v>
      </c>
      <c r="C92" s="152">
        <v>6400075140</v>
      </c>
      <c r="D92" s="57" t="s">
        <v>73</v>
      </c>
      <c r="E92" s="57"/>
      <c r="F92" s="67">
        <f>F93</f>
        <v>14.734</v>
      </c>
      <c r="G92" s="67">
        <f t="shared" si="41"/>
        <v>14.734</v>
      </c>
      <c r="H92" s="67">
        <f t="shared" si="41"/>
        <v>0</v>
      </c>
      <c r="I92" s="73">
        <f t="shared" si="28"/>
        <v>14.734</v>
      </c>
      <c r="J92" s="120">
        <f t="shared" si="33"/>
        <v>0</v>
      </c>
      <c r="L92" s="74">
        <f t="shared" si="29"/>
        <v>14734</v>
      </c>
      <c r="M92" s="79">
        <f t="shared" si="30"/>
        <v>14734</v>
      </c>
      <c r="N92" s="74">
        <f t="shared" si="31"/>
        <v>0</v>
      </c>
    </row>
    <row r="93" spans="1:14" x14ac:dyDescent="0.2">
      <c r="A93" s="147">
        <v>105</v>
      </c>
      <c r="B93" s="101" t="s">
        <v>281</v>
      </c>
      <c r="C93" s="152">
        <v>6400075140</v>
      </c>
      <c r="D93" s="57" t="s">
        <v>73</v>
      </c>
      <c r="E93" s="57" t="s">
        <v>24</v>
      </c>
      <c r="F93" s="67">
        <f t="shared" si="41"/>
        <v>14.734</v>
      </c>
      <c r="G93" s="153">
        <f t="shared" si="41"/>
        <v>14.734</v>
      </c>
      <c r="H93" s="153">
        <f t="shared" si="41"/>
        <v>0</v>
      </c>
      <c r="I93" s="73">
        <f t="shared" si="28"/>
        <v>14.734</v>
      </c>
      <c r="J93" s="120">
        <f t="shared" si="33"/>
        <v>0</v>
      </c>
      <c r="L93" s="74">
        <f t="shared" si="29"/>
        <v>14734</v>
      </c>
      <c r="M93" s="79">
        <f t="shared" si="30"/>
        <v>14734</v>
      </c>
      <c r="N93" s="74">
        <f t="shared" si="31"/>
        <v>0</v>
      </c>
    </row>
    <row r="94" spans="1:14" x14ac:dyDescent="0.2">
      <c r="A94" s="147">
        <v>106</v>
      </c>
      <c r="B94" s="58" t="s">
        <v>143</v>
      </c>
      <c r="C94" s="152">
        <v>6400075140</v>
      </c>
      <c r="D94" s="57" t="s">
        <v>73</v>
      </c>
      <c r="E94" s="57" t="s">
        <v>57</v>
      </c>
      <c r="F94" s="67">
        <v>14.734</v>
      </c>
      <c r="G94" s="153">
        <v>14.734</v>
      </c>
      <c r="H94" s="153">
        <v>0</v>
      </c>
      <c r="I94" s="73">
        <f t="shared" si="28"/>
        <v>14.734</v>
      </c>
      <c r="J94" s="120">
        <f t="shared" si="33"/>
        <v>0</v>
      </c>
      <c r="L94" s="74">
        <f t="shared" si="29"/>
        <v>14734</v>
      </c>
      <c r="M94" s="79">
        <f t="shared" si="30"/>
        <v>14734</v>
      </c>
      <c r="N94" s="74">
        <f t="shared" si="31"/>
        <v>0</v>
      </c>
    </row>
    <row r="95" spans="1:14" x14ac:dyDescent="0.2">
      <c r="A95" s="147">
        <v>107</v>
      </c>
      <c r="B95" s="151" t="s">
        <v>221</v>
      </c>
      <c r="C95" s="152">
        <v>6400080240</v>
      </c>
      <c r="D95" s="57" t="s">
        <v>226</v>
      </c>
      <c r="E95" s="57"/>
      <c r="F95" s="67">
        <f>F96</f>
        <v>0</v>
      </c>
      <c r="G95" s="67">
        <f t="shared" ref="G95:H96" si="42">G96</f>
        <v>0</v>
      </c>
      <c r="H95" s="67">
        <f t="shared" si="42"/>
        <v>0</v>
      </c>
      <c r="I95" s="73">
        <f t="shared" si="28"/>
        <v>0</v>
      </c>
      <c r="J95" s="120">
        <v>0</v>
      </c>
      <c r="L95" s="74">
        <f t="shared" si="29"/>
        <v>0</v>
      </c>
      <c r="M95" s="79">
        <f t="shared" si="30"/>
        <v>0</v>
      </c>
      <c r="N95" s="74">
        <f t="shared" si="31"/>
        <v>0</v>
      </c>
    </row>
    <row r="96" spans="1:14" x14ac:dyDescent="0.2">
      <c r="A96" s="147">
        <v>108</v>
      </c>
      <c r="B96" s="58" t="s">
        <v>143</v>
      </c>
      <c r="C96" s="152">
        <v>6400080240</v>
      </c>
      <c r="D96" s="57" t="s">
        <v>163</v>
      </c>
      <c r="E96" s="57" t="s">
        <v>24</v>
      </c>
      <c r="F96" s="67">
        <f>F97</f>
        <v>0</v>
      </c>
      <c r="G96" s="67">
        <f t="shared" si="42"/>
        <v>0</v>
      </c>
      <c r="H96" s="67">
        <f t="shared" si="42"/>
        <v>0</v>
      </c>
      <c r="I96" s="73">
        <f t="shared" si="28"/>
        <v>0</v>
      </c>
      <c r="J96" s="120">
        <v>0</v>
      </c>
      <c r="L96" s="74">
        <f t="shared" si="29"/>
        <v>0</v>
      </c>
      <c r="M96" s="79">
        <f t="shared" si="30"/>
        <v>0</v>
      </c>
      <c r="N96" s="74">
        <f t="shared" si="31"/>
        <v>0</v>
      </c>
    </row>
    <row r="97" spans="1:14" x14ac:dyDescent="0.2">
      <c r="A97" s="147">
        <v>109</v>
      </c>
      <c r="B97" s="58" t="s">
        <v>390</v>
      </c>
      <c r="C97" s="152">
        <v>6400080240</v>
      </c>
      <c r="D97" s="57" t="s">
        <v>163</v>
      </c>
      <c r="E97" s="57" t="s">
        <v>57</v>
      </c>
      <c r="F97" s="67">
        <v>0</v>
      </c>
      <c r="G97" s="153">
        <v>0</v>
      </c>
      <c r="H97" s="153">
        <v>0</v>
      </c>
      <c r="I97" s="73">
        <f t="shared" si="28"/>
        <v>0</v>
      </c>
      <c r="J97" s="120">
        <v>0</v>
      </c>
      <c r="L97" s="74">
        <f t="shared" si="29"/>
        <v>0</v>
      </c>
      <c r="M97" s="79">
        <f t="shared" si="30"/>
        <v>0</v>
      </c>
      <c r="N97" s="74">
        <f t="shared" si="31"/>
        <v>0</v>
      </c>
    </row>
    <row r="98" spans="1:14" x14ac:dyDescent="0.2">
      <c r="A98" s="147">
        <v>110</v>
      </c>
      <c r="B98" s="65" t="s">
        <v>144</v>
      </c>
      <c r="C98" s="18">
        <v>6400000000</v>
      </c>
      <c r="D98" s="40"/>
      <c r="E98" s="40"/>
      <c r="F98" s="67">
        <f>F99</f>
        <v>443.13299999999998</v>
      </c>
      <c r="G98" s="67">
        <f>G99</f>
        <v>522.63699999999994</v>
      </c>
      <c r="H98" s="67">
        <f>H99</f>
        <v>82.781559999999999</v>
      </c>
      <c r="I98" s="73">
        <f t="shared" si="28"/>
        <v>439.85543999999993</v>
      </c>
      <c r="J98" s="120">
        <f t="shared" si="33"/>
        <v>15.839207710131509</v>
      </c>
      <c r="L98" s="74">
        <f t="shared" si="29"/>
        <v>443133</v>
      </c>
      <c r="M98" s="79">
        <f t="shared" si="30"/>
        <v>522636.99999999994</v>
      </c>
      <c r="N98" s="74">
        <f t="shared" si="31"/>
        <v>82781.56</v>
      </c>
    </row>
    <row r="99" spans="1:14" ht="38.25" x14ac:dyDescent="0.2">
      <c r="A99" s="147">
        <v>111</v>
      </c>
      <c r="B99" s="156" t="s">
        <v>160</v>
      </c>
      <c r="C99" s="152">
        <v>6400051180</v>
      </c>
      <c r="D99" s="57"/>
      <c r="E99" s="57"/>
      <c r="F99" s="100">
        <f>F100+F104</f>
        <v>443.13299999999998</v>
      </c>
      <c r="G99" s="100">
        <f>G100+G104</f>
        <v>522.63699999999994</v>
      </c>
      <c r="H99" s="100">
        <f>H100+H104</f>
        <v>82.781559999999999</v>
      </c>
      <c r="I99" s="73">
        <f t="shared" si="28"/>
        <v>439.85543999999993</v>
      </c>
      <c r="J99" s="120">
        <f t="shared" si="33"/>
        <v>15.839207710131509</v>
      </c>
      <c r="L99" s="74">
        <f t="shared" si="29"/>
        <v>443133</v>
      </c>
      <c r="M99" s="79">
        <f t="shared" si="30"/>
        <v>522636.99999999994</v>
      </c>
      <c r="N99" s="74">
        <f t="shared" si="31"/>
        <v>82781.56</v>
      </c>
    </row>
    <row r="100" spans="1:14" ht="38.25" x14ac:dyDescent="0.2">
      <c r="A100" s="147">
        <v>112</v>
      </c>
      <c r="B100" s="64" t="s">
        <v>69</v>
      </c>
      <c r="C100" s="152">
        <v>6400051180</v>
      </c>
      <c r="D100" s="57" t="s">
        <v>70</v>
      </c>
      <c r="E100" s="57"/>
      <c r="F100" s="100">
        <f>F101</f>
        <v>433.13299999999998</v>
      </c>
      <c r="G100" s="100">
        <f t="shared" ref="G100:H102" si="43">G101</f>
        <v>463.13299999999998</v>
      </c>
      <c r="H100" s="100">
        <f>H101</f>
        <v>81.876040000000003</v>
      </c>
      <c r="I100" s="73">
        <f t="shared" si="28"/>
        <v>381.25695999999999</v>
      </c>
      <c r="J100" s="120">
        <f t="shared" si="33"/>
        <v>17.67873159545962</v>
      </c>
      <c r="L100" s="74">
        <f t="shared" si="29"/>
        <v>433133</v>
      </c>
      <c r="M100" s="79">
        <f t="shared" si="30"/>
        <v>463133</v>
      </c>
      <c r="N100" s="74">
        <f t="shared" si="31"/>
        <v>81876.040000000008</v>
      </c>
    </row>
    <row r="101" spans="1:14" x14ac:dyDescent="0.2">
      <c r="A101" s="147">
        <v>113</v>
      </c>
      <c r="B101" s="60" t="s">
        <v>157</v>
      </c>
      <c r="C101" s="152">
        <v>6400051180</v>
      </c>
      <c r="D101" s="57" t="s">
        <v>74</v>
      </c>
      <c r="E101" s="57"/>
      <c r="F101" s="100">
        <f t="shared" ref="F101:F102" si="44">F102</f>
        <v>433.13299999999998</v>
      </c>
      <c r="G101" s="153">
        <f t="shared" si="43"/>
        <v>463.13299999999998</v>
      </c>
      <c r="H101" s="153">
        <f>H102</f>
        <v>81.876040000000003</v>
      </c>
      <c r="I101" s="73">
        <f t="shared" si="28"/>
        <v>381.25695999999999</v>
      </c>
      <c r="J101" s="120">
        <f t="shared" si="33"/>
        <v>17.67873159545962</v>
      </c>
      <c r="L101" s="74">
        <f t="shared" si="29"/>
        <v>433133</v>
      </c>
      <c r="M101" s="79">
        <f t="shared" si="30"/>
        <v>463133</v>
      </c>
      <c r="N101" s="74">
        <f t="shared" si="31"/>
        <v>81876.040000000008</v>
      </c>
    </row>
    <row r="102" spans="1:14" x14ac:dyDescent="0.2">
      <c r="A102" s="147">
        <v>114</v>
      </c>
      <c r="B102" s="58" t="s">
        <v>145</v>
      </c>
      <c r="C102" s="152">
        <v>6400051180</v>
      </c>
      <c r="D102" s="57" t="s">
        <v>74</v>
      </c>
      <c r="E102" s="57" t="s">
        <v>146</v>
      </c>
      <c r="F102" s="100">
        <f t="shared" si="44"/>
        <v>433.13299999999998</v>
      </c>
      <c r="G102" s="153">
        <f t="shared" si="43"/>
        <v>463.13299999999998</v>
      </c>
      <c r="H102" s="153">
        <f t="shared" si="43"/>
        <v>81.876040000000003</v>
      </c>
      <c r="I102" s="73">
        <f t="shared" si="28"/>
        <v>381.25695999999999</v>
      </c>
      <c r="J102" s="120">
        <f t="shared" si="33"/>
        <v>17.67873159545962</v>
      </c>
      <c r="L102" s="74">
        <f t="shared" si="29"/>
        <v>433133</v>
      </c>
      <c r="M102" s="79">
        <f t="shared" si="30"/>
        <v>463133</v>
      </c>
      <c r="N102" s="74">
        <f t="shared" si="31"/>
        <v>81876.040000000008</v>
      </c>
    </row>
    <row r="103" spans="1:14" x14ac:dyDescent="0.2">
      <c r="A103" s="147">
        <v>115</v>
      </c>
      <c r="B103" s="58" t="s">
        <v>147</v>
      </c>
      <c r="C103" s="152">
        <v>6400051180</v>
      </c>
      <c r="D103" s="57" t="s">
        <v>74</v>
      </c>
      <c r="E103" s="57" t="s">
        <v>29</v>
      </c>
      <c r="F103" s="104">
        <f>332.66744+100.46556</f>
        <v>433.13299999999998</v>
      </c>
      <c r="G103" s="153">
        <f>362.66744+100.46556</f>
        <v>463.13299999999998</v>
      </c>
      <c r="H103" s="153">
        <f>65.7072+16.16884</f>
        <v>81.876040000000003</v>
      </c>
      <c r="I103" s="73">
        <f t="shared" si="28"/>
        <v>381.25695999999999</v>
      </c>
      <c r="J103" s="120">
        <f t="shared" si="33"/>
        <v>17.67873159545962</v>
      </c>
      <c r="L103" s="74">
        <f t="shared" si="29"/>
        <v>433133</v>
      </c>
      <c r="M103" s="79">
        <f t="shared" si="30"/>
        <v>463133</v>
      </c>
      <c r="N103" s="74">
        <f t="shared" si="31"/>
        <v>81876.040000000008</v>
      </c>
    </row>
    <row r="104" spans="1:14" x14ac:dyDescent="0.2">
      <c r="A104" s="147">
        <v>116</v>
      </c>
      <c r="B104" s="155" t="s">
        <v>71</v>
      </c>
      <c r="C104" s="152">
        <v>6400051180</v>
      </c>
      <c r="D104" s="57" t="s">
        <v>72</v>
      </c>
      <c r="E104" s="57"/>
      <c r="F104" s="100">
        <f t="shared" ref="F104:H106" si="45">F105</f>
        <v>10</v>
      </c>
      <c r="G104" s="153">
        <f>G105</f>
        <v>59.503999999999998</v>
      </c>
      <c r="H104" s="153">
        <f t="shared" si="45"/>
        <v>0.90551999999999999</v>
      </c>
      <c r="I104" s="73">
        <f t="shared" si="28"/>
        <v>58.598479999999995</v>
      </c>
      <c r="J104" s="120">
        <f t="shared" si="33"/>
        <v>1.5217800484001076</v>
      </c>
      <c r="L104" s="74">
        <f t="shared" si="29"/>
        <v>10000</v>
      </c>
      <c r="M104" s="79">
        <f t="shared" si="30"/>
        <v>59504</v>
      </c>
      <c r="N104" s="74">
        <f t="shared" si="31"/>
        <v>905.52</v>
      </c>
    </row>
    <row r="105" spans="1:14" ht="25.5" x14ac:dyDescent="0.2">
      <c r="A105" s="147">
        <v>117</v>
      </c>
      <c r="B105" s="155" t="s">
        <v>156</v>
      </c>
      <c r="C105" s="152">
        <v>6400051180</v>
      </c>
      <c r="D105" s="57" t="s">
        <v>73</v>
      </c>
      <c r="E105" s="57"/>
      <c r="F105" s="100">
        <f t="shared" si="45"/>
        <v>10</v>
      </c>
      <c r="G105" s="153">
        <f>G106</f>
        <v>59.503999999999998</v>
      </c>
      <c r="H105" s="153">
        <f t="shared" si="45"/>
        <v>0.90551999999999999</v>
      </c>
      <c r="I105" s="73">
        <f t="shared" si="28"/>
        <v>58.598479999999995</v>
      </c>
      <c r="J105" s="120">
        <f t="shared" si="33"/>
        <v>1.5217800484001076</v>
      </c>
      <c r="L105" s="74">
        <f t="shared" si="29"/>
        <v>10000</v>
      </c>
      <c r="M105" s="79">
        <f t="shared" si="30"/>
        <v>59504</v>
      </c>
      <c r="N105" s="74">
        <f t="shared" si="31"/>
        <v>905.52</v>
      </c>
    </row>
    <row r="106" spans="1:14" x14ac:dyDescent="0.2">
      <c r="A106" s="147">
        <v>118</v>
      </c>
      <c r="B106" s="58" t="s">
        <v>145</v>
      </c>
      <c r="C106" s="152">
        <v>6400051180</v>
      </c>
      <c r="D106" s="57" t="s">
        <v>73</v>
      </c>
      <c r="E106" s="57" t="s">
        <v>146</v>
      </c>
      <c r="F106" s="100">
        <f t="shared" si="45"/>
        <v>10</v>
      </c>
      <c r="G106" s="153">
        <f>G107</f>
        <v>59.503999999999998</v>
      </c>
      <c r="H106" s="153">
        <f t="shared" si="45"/>
        <v>0.90551999999999999</v>
      </c>
      <c r="I106" s="73">
        <f t="shared" si="28"/>
        <v>58.598479999999995</v>
      </c>
      <c r="J106" s="120">
        <f t="shared" si="33"/>
        <v>1.5217800484001076</v>
      </c>
      <c r="L106" s="74">
        <f t="shared" si="29"/>
        <v>10000</v>
      </c>
      <c r="M106" s="79">
        <f t="shared" si="30"/>
        <v>59504</v>
      </c>
      <c r="N106" s="74">
        <f t="shared" si="31"/>
        <v>905.52</v>
      </c>
    </row>
    <row r="107" spans="1:14" x14ac:dyDescent="0.2">
      <c r="A107" s="147">
        <v>119</v>
      </c>
      <c r="B107" s="58" t="s">
        <v>147</v>
      </c>
      <c r="C107" s="152">
        <v>6400051180</v>
      </c>
      <c r="D107" s="57" t="s">
        <v>73</v>
      </c>
      <c r="E107" s="57" t="s">
        <v>29</v>
      </c>
      <c r="F107" s="104">
        <f>8.229+1.771</f>
        <v>10</v>
      </c>
      <c r="G107" s="104">
        <f>59.504</f>
        <v>59.503999999999998</v>
      </c>
      <c r="H107" s="104">
        <v>0.90551999999999999</v>
      </c>
      <c r="I107" s="73">
        <f t="shared" si="28"/>
        <v>58.598479999999995</v>
      </c>
      <c r="J107" s="120">
        <f t="shared" si="33"/>
        <v>1.5217800484001076</v>
      </c>
      <c r="L107" s="74">
        <f t="shared" si="29"/>
        <v>10000</v>
      </c>
      <c r="M107" s="79">
        <f t="shared" si="30"/>
        <v>59504</v>
      </c>
      <c r="N107" s="74">
        <f t="shared" si="31"/>
        <v>905.52</v>
      </c>
    </row>
    <row r="108" spans="1:14" x14ac:dyDescent="0.2">
      <c r="A108" s="147">
        <v>120</v>
      </c>
      <c r="B108" s="65" t="s">
        <v>144</v>
      </c>
      <c r="C108" s="18">
        <v>6300000000</v>
      </c>
      <c r="D108" s="57"/>
      <c r="E108" s="57"/>
      <c r="F108" s="104">
        <f>F109</f>
        <v>22</v>
      </c>
      <c r="G108" s="104">
        <f t="shared" ref="G108" si="46">G109</f>
        <v>22</v>
      </c>
      <c r="H108" s="104">
        <f>H109</f>
        <v>0</v>
      </c>
      <c r="I108" s="73">
        <f t="shared" si="28"/>
        <v>22</v>
      </c>
      <c r="J108" s="120">
        <f t="shared" si="33"/>
        <v>0</v>
      </c>
      <c r="L108" s="74">
        <f t="shared" si="29"/>
        <v>22000</v>
      </c>
      <c r="M108" s="79">
        <f t="shared" si="30"/>
        <v>22000</v>
      </c>
      <c r="N108" s="74">
        <f t="shared" si="31"/>
        <v>0</v>
      </c>
    </row>
    <row r="109" spans="1:14" ht="38.25" x14ac:dyDescent="0.2">
      <c r="A109" s="147">
        <v>121</v>
      </c>
      <c r="B109" s="105" t="s">
        <v>307</v>
      </c>
      <c r="C109" s="35" t="s">
        <v>308</v>
      </c>
      <c r="D109" s="57"/>
      <c r="E109" s="57"/>
      <c r="F109" s="104">
        <f>F110</f>
        <v>22</v>
      </c>
      <c r="G109" s="153">
        <f t="shared" ref="F109:H117" si="47">G110</f>
        <v>22</v>
      </c>
      <c r="H109" s="153">
        <f t="shared" si="47"/>
        <v>0</v>
      </c>
      <c r="I109" s="73">
        <f t="shared" si="28"/>
        <v>22</v>
      </c>
      <c r="J109" s="120">
        <f t="shared" si="33"/>
        <v>0</v>
      </c>
      <c r="L109" s="74">
        <f t="shared" si="29"/>
        <v>22000</v>
      </c>
      <c r="M109" s="79">
        <f t="shared" si="30"/>
        <v>22000</v>
      </c>
      <c r="N109" s="74">
        <f t="shared" si="31"/>
        <v>0</v>
      </c>
    </row>
    <row r="110" spans="1:14" x14ac:dyDescent="0.2">
      <c r="A110" s="147">
        <v>122</v>
      </c>
      <c r="B110" s="155" t="s">
        <v>71</v>
      </c>
      <c r="C110" s="35" t="s">
        <v>232</v>
      </c>
      <c r="D110" s="57" t="s">
        <v>72</v>
      </c>
      <c r="E110" s="57"/>
      <c r="F110" s="104">
        <f t="shared" si="47"/>
        <v>22</v>
      </c>
      <c r="G110" s="153">
        <f t="shared" si="47"/>
        <v>22</v>
      </c>
      <c r="H110" s="153">
        <f>H111</f>
        <v>0</v>
      </c>
      <c r="I110" s="73">
        <f t="shared" si="28"/>
        <v>22</v>
      </c>
      <c r="J110" s="120">
        <f t="shared" si="33"/>
        <v>0</v>
      </c>
      <c r="L110" s="74">
        <f t="shared" si="29"/>
        <v>22000</v>
      </c>
      <c r="M110" s="79">
        <f t="shared" si="30"/>
        <v>22000</v>
      </c>
      <c r="N110" s="74">
        <f t="shared" si="31"/>
        <v>0</v>
      </c>
    </row>
    <row r="111" spans="1:14" ht="25.5" x14ac:dyDescent="0.2">
      <c r="A111" s="147">
        <v>123</v>
      </c>
      <c r="B111" s="155" t="s">
        <v>156</v>
      </c>
      <c r="C111" s="152">
        <v>6300080220</v>
      </c>
      <c r="D111" s="57" t="s">
        <v>73</v>
      </c>
      <c r="E111" s="57"/>
      <c r="F111" s="104">
        <f>F112</f>
        <v>22</v>
      </c>
      <c r="G111" s="104">
        <f t="shared" si="47"/>
        <v>22</v>
      </c>
      <c r="H111" s="104">
        <f>H112</f>
        <v>0</v>
      </c>
      <c r="I111" s="73">
        <f t="shared" si="28"/>
        <v>22</v>
      </c>
      <c r="J111" s="120">
        <f t="shared" si="33"/>
        <v>0</v>
      </c>
      <c r="L111" s="74">
        <f t="shared" si="29"/>
        <v>22000</v>
      </c>
      <c r="M111" s="79">
        <f t="shared" si="30"/>
        <v>22000</v>
      </c>
      <c r="N111" s="74">
        <f t="shared" si="31"/>
        <v>0</v>
      </c>
    </row>
    <row r="112" spans="1:14" ht="25.5" x14ac:dyDescent="0.2">
      <c r="A112" s="147">
        <v>124</v>
      </c>
      <c r="B112" s="101" t="s">
        <v>185</v>
      </c>
      <c r="C112" s="35" t="s">
        <v>232</v>
      </c>
      <c r="D112" s="103" t="s">
        <v>73</v>
      </c>
      <c r="E112" s="103" t="s">
        <v>194</v>
      </c>
      <c r="F112" s="106">
        <f>F113</f>
        <v>22</v>
      </c>
      <c r="G112" s="106">
        <f t="shared" si="47"/>
        <v>22</v>
      </c>
      <c r="H112" s="106">
        <f>H113</f>
        <v>0</v>
      </c>
      <c r="I112" s="73">
        <f t="shared" si="28"/>
        <v>22</v>
      </c>
      <c r="J112" s="120">
        <f t="shared" si="33"/>
        <v>0</v>
      </c>
      <c r="L112" s="74">
        <f t="shared" si="29"/>
        <v>22000</v>
      </c>
      <c r="M112" s="79">
        <f t="shared" si="30"/>
        <v>22000</v>
      </c>
      <c r="N112" s="74">
        <f t="shared" si="31"/>
        <v>0</v>
      </c>
    </row>
    <row r="113" spans="1:14" ht="25.5" x14ac:dyDescent="0.2">
      <c r="A113" s="147">
        <v>125</v>
      </c>
      <c r="B113" s="101" t="s">
        <v>230</v>
      </c>
      <c r="C113" s="35" t="s">
        <v>232</v>
      </c>
      <c r="D113" s="103" t="s">
        <v>73</v>
      </c>
      <c r="E113" s="103" t="s">
        <v>231</v>
      </c>
      <c r="F113" s="106">
        <v>22</v>
      </c>
      <c r="G113" s="157">
        <v>22</v>
      </c>
      <c r="H113" s="157">
        <v>0</v>
      </c>
      <c r="I113" s="73">
        <f t="shared" si="28"/>
        <v>22</v>
      </c>
      <c r="J113" s="120">
        <f t="shared" si="33"/>
        <v>0</v>
      </c>
      <c r="L113" s="74">
        <f t="shared" si="29"/>
        <v>22000</v>
      </c>
      <c r="M113" s="79">
        <f t="shared" si="30"/>
        <v>22000</v>
      </c>
      <c r="N113" s="74">
        <f t="shared" si="31"/>
        <v>0</v>
      </c>
    </row>
    <row r="114" spans="1:14" x14ac:dyDescent="0.2">
      <c r="A114" s="147">
        <v>133</v>
      </c>
      <c r="B114" s="65" t="s">
        <v>144</v>
      </c>
      <c r="C114" s="18">
        <v>6400000000</v>
      </c>
      <c r="D114" s="107"/>
      <c r="E114" s="107"/>
      <c r="F114" s="104">
        <f>F115+F120</f>
        <v>157.702</v>
      </c>
      <c r="G114" s="104">
        <f>G115+G120</f>
        <v>314.34771999999998</v>
      </c>
      <c r="H114" s="104">
        <f t="shared" ref="H114" si="48">H115+H120</f>
        <v>156.64572000000001</v>
      </c>
      <c r="I114" s="73">
        <f t="shared" si="28"/>
        <v>157.70199999999997</v>
      </c>
      <c r="J114" s="120">
        <f t="shared" si="33"/>
        <v>49.831988601666978</v>
      </c>
      <c r="L114" s="74">
        <f t="shared" ref="L114:L141" si="49">F114*1000</f>
        <v>157702</v>
      </c>
      <c r="M114" s="79">
        <f t="shared" ref="M114:M141" si="50">G114*1000</f>
        <v>314347.71999999997</v>
      </c>
      <c r="N114" s="74">
        <f t="shared" ref="N114:N141" si="51">H114*1000</f>
        <v>156645.72</v>
      </c>
    </row>
    <row r="115" spans="1:14" ht="25.5" x14ac:dyDescent="0.2">
      <c r="A115" s="147">
        <v>134</v>
      </c>
      <c r="B115" s="105" t="s">
        <v>432</v>
      </c>
      <c r="C115" s="35" t="s">
        <v>228</v>
      </c>
      <c r="D115" s="107"/>
      <c r="E115" s="107"/>
      <c r="F115" s="104">
        <f>F116</f>
        <v>157.702</v>
      </c>
      <c r="G115" s="104">
        <f t="shared" si="47"/>
        <v>157.702</v>
      </c>
      <c r="H115" s="104">
        <f t="shared" si="47"/>
        <v>0</v>
      </c>
      <c r="I115" s="73">
        <f t="shared" ref="I115:I138" si="52">G115-H115</f>
        <v>157.702</v>
      </c>
      <c r="J115" s="120">
        <f t="shared" si="33"/>
        <v>0</v>
      </c>
      <c r="L115" s="74">
        <f t="shared" si="49"/>
        <v>157702</v>
      </c>
      <c r="M115" s="79">
        <f t="shared" si="50"/>
        <v>157702</v>
      </c>
      <c r="N115" s="74">
        <f t="shared" si="51"/>
        <v>0</v>
      </c>
    </row>
    <row r="116" spans="1:14" x14ac:dyDescent="0.2">
      <c r="A116" s="147">
        <v>135</v>
      </c>
      <c r="B116" s="155" t="s">
        <v>71</v>
      </c>
      <c r="C116" s="35" t="s">
        <v>261</v>
      </c>
      <c r="D116" s="107" t="s">
        <v>72</v>
      </c>
      <c r="E116" s="107"/>
      <c r="F116" s="104">
        <f>F117</f>
        <v>157.702</v>
      </c>
      <c r="G116" s="104">
        <f t="shared" si="47"/>
        <v>157.702</v>
      </c>
      <c r="H116" s="104">
        <f t="shared" si="47"/>
        <v>0</v>
      </c>
      <c r="I116" s="73">
        <f t="shared" si="52"/>
        <v>157.702</v>
      </c>
      <c r="J116" s="120">
        <f t="shared" ref="J116:J136" si="53">H116/G116*100</f>
        <v>0</v>
      </c>
      <c r="L116" s="74">
        <f t="shared" si="49"/>
        <v>157702</v>
      </c>
      <c r="M116" s="79">
        <f t="shared" si="50"/>
        <v>157702</v>
      </c>
      <c r="N116" s="74">
        <f t="shared" si="51"/>
        <v>0</v>
      </c>
    </row>
    <row r="117" spans="1:14" ht="25.5" x14ac:dyDescent="0.2">
      <c r="A117" s="147">
        <v>136</v>
      </c>
      <c r="B117" s="155" t="s">
        <v>156</v>
      </c>
      <c r="C117" s="35" t="s">
        <v>261</v>
      </c>
      <c r="D117" s="107" t="s">
        <v>73</v>
      </c>
      <c r="E117" s="107"/>
      <c r="F117" s="104">
        <f>F118</f>
        <v>157.702</v>
      </c>
      <c r="G117" s="104">
        <f t="shared" si="47"/>
        <v>157.702</v>
      </c>
      <c r="H117" s="104">
        <f t="shared" si="47"/>
        <v>0</v>
      </c>
      <c r="I117" s="73">
        <f t="shared" si="52"/>
        <v>157.702</v>
      </c>
      <c r="J117" s="120">
        <f t="shared" si="53"/>
        <v>0</v>
      </c>
      <c r="L117" s="74">
        <f t="shared" si="49"/>
        <v>157702</v>
      </c>
      <c r="M117" s="79">
        <f t="shared" si="50"/>
        <v>157702</v>
      </c>
      <c r="N117" s="74">
        <f t="shared" si="51"/>
        <v>0</v>
      </c>
    </row>
    <row r="118" spans="1:14" x14ac:dyDescent="0.2">
      <c r="A118" s="147">
        <v>137</v>
      </c>
      <c r="B118" s="108" t="s">
        <v>151</v>
      </c>
      <c r="C118" s="35" t="s">
        <v>261</v>
      </c>
      <c r="D118" s="109" t="s">
        <v>73</v>
      </c>
      <c r="E118" s="109" t="s">
        <v>30</v>
      </c>
      <c r="F118" s="106">
        <f>F119</f>
        <v>157.702</v>
      </c>
      <c r="G118" s="153">
        <f t="shared" ref="G118" si="54">SUM(G119)</f>
        <v>157.702</v>
      </c>
      <c r="H118" s="153">
        <f>SUM(H119)</f>
        <v>0</v>
      </c>
      <c r="I118" s="73">
        <f t="shared" si="52"/>
        <v>157.702</v>
      </c>
      <c r="J118" s="120">
        <f t="shared" si="53"/>
        <v>0</v>
      </c>
      <c r="L118" s="74">
        <f t="shared" si="49"/>
        <v>157702</v>
      </c>
      <c r="M118" s="79">
        <f t="shared" si="50"/>
        <v>157702</v>
      </c>
      <c r="N118" s="74">
        <f t="shared" si="51"/>
        <v>0</v>
      </c>
    </row>
    <row r="119" spans="1:14" x14ac:dyDescent="0.2">
      <c r="A119" s="147">
        <v>138</v>
      </c>
      <c r="B119" s="110" t="s">
        <v>152</v>
      </c>
      <c r="C119" s="35" t="s">
        <v>261</v>
      </c>
      <c r="D119" s="109" t="s">
        <v>73</v>
      </c>
      <c r="E119" s="109" t="s">
        <v>31</v>
      </c>
      <c r="F119" s="106">
        <v>157.702</v>
      </c>
      <c r="G119" s="106">
        <v>157.702</v>
      </c>
      <c r="H119" s="106">
        <v>0</v>
      </c>
      <c r="I119" s="73">
        <f t="shared" si="52"/>
        <v>157.702</v>
      </c>
      <c r="J119" s="120">
        <f t="shared" si="53"/>
        <v>0</v>
      </c>
      <c r="L119" s="74">
        <f t="shared" si="49"/>
        <v>157702</v>
      </c>
      <c r="M119" s="79">
        <f t="shared" si="50"/>
        <v>157702</v>
      </c>
      <c r="N119" s="74">
        <f t="shared" si="51"/>
        <v>0</v>
      </c>
    </row>
    <row r="120" spans="1:14" ht="25.5" x14ac:dyDescent="0.2">
      <c r="A120" s="147">
        <v>149</v>
      </c>
      <c r="B120" s="105" t="s">
        <v>432</v>
      </c>
      <c r="C120" s="35" t="s">
        <v>190</v>
      </c>
      <c r="D120" s="109"/>
      <c r="E120" s="109"/>
      <c r="F120" s="106">
        <f>F121</f>
        <v>0</v>
      </c>
      <c r="G120" s="106">
        <f t="shared" ref="G120:G123" si="55">G121</f>
        <v>156.64572000000001</v>
      </c>
      <c r="H120" s="106">
        <f t="shared" ref="H120:H123" si="56">H121</f>
        <v>156.64572000000001</v>
      </c>
      <c r="I120" s="73">
        <f t="shared" ref="I120:I124" si="57">G120-H120</f>
        <v>0</v>
      </c>
      <c r="J120" s="120">
        <f t="shared" ref="J120:J124" si="58">H120/G120*100</f>
        <v>100</v>
      </c>
      <c r="L120" s="74">
        <f t="shared" si="49"/>
        <v>0</v>
      </c>
      <c r="M120" s="79">
        <f t="shared" si="50"/>
        <v>156645.72</v>
      </c>
      <c r="N120" s="74">
        <f t="shared" si="51"/>
        <v>156645.72</v>
      </c>
    </row>
    <row r="121" spans="1:14" x14ac:dyDescent="0.2">
      <c r="A121" s="147">
        <v>150</v>
      </c>
      <c r="B121" s="155" t="s">
        <v>71</v>
      </c>
      <c r="C121" s="35" t="s">
        <v>190</v>
      </c>
      <c r="D121" s="109" t="s">
        <v>72</v>
      </c>
      <c r="E121" s="109"/>
      <c r="F121" s="106">
        <f>F122</f>
        <v>0</v>
      </c>
      <c r="G121" s="106">
        <f t="shared" si="55"/>
        <v>156.64572000000001</v>
      </c>
      <c r="H121" s="106">
        <f t="shared" si="56"/>
        <v>156.64572000000001</v>
      </c>
      <c r="I121" s="73">
        <f t="shared" si="57"/>
        <v>0</v>
      </c>
      <c r="J121" s="120">
        <f t="shared" si="58"/>
        <v>100</v>
      </c>
      <c r="L121" s="74">
        <f t="shared" si="49"/>
        <v>0</v>
      </c>
      <c r="M121" s="79">
        <f t="shared" si="50"/>
        <v>156645.72</v>
      </c>
      <c r="N121" s="74">
        <f t="shared" si="51"/>
        <v>156645.72</v>
      </c>
    </row>
    <row r="122" spans="1:14" ht="25.5" x14ac:dyDescent="0.2">
      <c r="A122" s="147">
        <v>151</v>
      </c>
      <c r="B122" s="155" t="s">
        <v>156</v>
      </c>
      <c r="C122" s="35" t="s">
        <v>190</v>
      </c>
      <c r="D122" s="109" t="s">
        <v>73</v>
      </c>
      <c r="E122" s="109"/>
      <c r="F122" s="106">
        <f>F123</f>
        <v>0</v>
      </c>
      <c r="G122" s="106">
        <f t="shared" si="55"/>
        <v>156.64572000000001</v>
      </c>
      <c r="H122" s="106">
        <f t="shared" si="56"/>
        <v>156.64572000000001</v>
      </c>
      <c r="I122" s="73">
        <f t="shared" si="57"/>
        <v>0</v>
      </c>
      <c r="J122" s="120">
        <f t="shared" si="58"/>
        <v>100</v>
      </c>
      <c r="L122" s="74">
        <f t="shared" si="49"/>
        <v>0</v>
      </c>
      <c r="M122" s="79">
        <f t="shared" si="50"/>
        <v>156645.72</v>
      </c>
      <c r="N122" s="74">
        <f t="shared" si="51"/>
        <v>156645.72</v>
      </c>
    </row>
    <row r="123" spans="1:14" x14ac:dyDescent="0.2">
      <c r="A123" s="147">
        <v>152</v>
      </c>
      <c r="B123" s="108" t="s">
        <v>151</v>
      </c>
      <c r="C123" s="35" t="s">
        <v>190</v>
      </c>
      <c r="D123" s="109" t="s">
        <v>73</v>
      </c>
      <c r="E123" s="109" t="s">
        <v>30</v>
      </c>
      <c r="F123" s="106">
        <f>F124</f>
        <v>0</v>
      </c>
      <c r="G123" s="106">
        <f t="shared" si="55"/>
        <v>156.64572000000001</v>
      </c>
      <c r="H123" s="106">
        <f t="shared" si="56"/>
        <v>156.64572000000001</v>
      </c>
      <c r="I123" s="73">
        <f t="shared" si="57"/>
        <v>0</v>
      </c>
      <c r="J123" s="120">
        <f t="shared" si="58"/>
        <v>100</v>
      </c>
      <c r="L123" s="74">
        <f t="shared" si="49"/>
        <v>0</v>
      </c>
      <c r="M123" s="79">
        <f t="shared" si="50"/>
        <v>156645.72</v>
      </c>
      <c r="N123" s="74">
        <f t="shared" si="51"/>
        <v>156645.72</v>
      </c>
    </row>
    <row r="124" spans="1:14" x14ac:dyDescent="0.2">
      <c r="A124" s="147">
        <v>153</v>
      </c>
      <c r="B124" s="108" t="s">
        <v>445</v>
      </c>
      <c r="C124" s="35" t="s">
        <v>190</v>
      </c>
      <c r="D124" s="109" t="s">
        <v>73</v>
      </c>
      <c r="E124" s="109" t="s">
        <v>107</v>
      </c>
      <c r="F124" s="106">
        <v>0</v>
      </c>
      <c r="G124" s="106">
        <v>156.64572000000001</v>
      </c>
      <c r="H124" s="106">
        <v>156.64572000000001</v>
      </c>
      <c r="I124" s="73">
        <f t="shared" si="57"/>
        <v>0</v>
      </c>
      <c r="J124" s="120">
        <f t="shared" si="58"/>
        <v>100</v>
      </c>
      <c r="L124" s="74">
        <f t="shared" si="49"/>
        <v>0</v>
      </c>
      <c r="M124" s="79">
        <f t="shared" si="50"/>
        <v>156645.72</v>
      </c>
      <c r="N124" s="74">
        <f t="shared" si="51"/>
        <v>156645.72</v>
      </c>
    </row>
    <row r="125" spans="1:14" ht="38.25" x14ac:dyDescent="0.2">
      <c r="A125" s="147">
        <v>154</v>
      </c>
      <c r="B125" s="71" t="s">
        <v>212</v>
      </c>
      <c r="C125" s="152" t="s">
        <v>213</v>
      </c>
      <c r="D125" s="57"/>
      <c r="E125" s="57"/>
      <c r="F125" s="153">
        <f>F126</f>
        <v>1</v>
      </c>
      <c r="G125" s="153">
        <f t="shared" ref="G125:H129" si="59">G126</f>
        <v>1</v>
      </c>
      <c r="H125" s="153">
        <f t="shared" si="59"/>
        <v>1</v>
      </c>
      <c r="I125" s="73">
        <f t="shared" si="52"/>
        <v>0</v>
      </c>
      <c r="J125" s="120">
        <f t="shared" si="53"/>
        <v>100</v>
      </c>
      <c r="L125" s="74">
        <f t="shared" si="49"/>
        <v>1000</v>
      </c>
      <c r="M125" s="79">
        <f t="shared" si="50"/>
        <v>1000</v>
      </c>
      <c r="N125" s="74">
        <f t="shared" si="51"/>
        <v>1000</v>
      </c>
    </row>
    <row r="126" spans="1:14" x14ac:dyDescent="0.2">
      <c r="A126" s="147">
        <v>155</v>
      </c>
      <c r="B126" s="151" t="s">
        <v>214</v>
      </c>
      <c r="C126" s="152">
        <v>6400080000</v>
      </c>
      <c r="D126" s="57"/>
      <c r="E126" s="57"/>
      <c r="F126" s="153">
        <f>F127</f>
        <v>1</v>
      </c>
      <c r="G126" s="153">
        <f t="shared" si="59"/>
        <v>1</v>
      </c>
      <c r="H126" s="153">
        <f t="shared" si="59"/>
        <v>1</v>
      </c>
      <c r="I126" s="73">
        <f t="shared" si="52"/>
        <v>0</v>
      </c>
      <c r="J126" s="120">
        <f t="shared" si="53"/>
        <v>100</v>
      </c>
      <c r="L126" s="74">
        <f t="shared" si="49"/>
        <v>1000</v>
      </c>
      <c r="M126" s="79">
        <f t="shared" si="50"/>
        <v>1000</v>
      </c>
      <c r="N126" s="74">
        <f t="shared" si="51"/>
        <v>1000</v>
      </c>
    </row>
    <row r="127" spans="1:14" ht="38.25" x14ac:dyDescent="0.2">
      <c r="A127" s="147">
        <v>156</v>
      </c>
      <c r="B127" s="151" t="s">
        <v>215</v>
      </c>
      <c r="C127" s="152">
        <v>6400087000</v>
      </c>
      <c r="D127" s="152">
        <v>500</v>
      </c>
      <c r="E127" s="57"/>
      <c r="F127" s="153">
        <f>F128</f>
        <v>1</v>
      </c>
      <c r="G127" s="153">
        <f t="shared" si="59"/>
        <v>1</v>
      </c>
      <c r="H127" s="153">
        <f t="shared" si="59"/>
        <v>1</v>
      </c>
      <c r="I127" s="73">
        <f t="shared" si="52"/>
        <v>0</v>
      </c>
      <c r="J127" s="120">
        <f t="shared" si="53"/>
        <v>100</v>
      </c>
      <c r="L127" s="74">
        <f t="shared" si="49"/>
        <v>1000</v>
      </c>
      <c r="M127" s="79">
        <f t="shared" si="50"/>
        <v>1000</v>
      </c>
      <c r="N127" s="74">
        <f t="shared" si="51"/>
        <v>1000</v>
      </c>
    </row>
    <row r="128" spans="1:14" x14ac:dyDescent="0.2">
      <c r="A128" s="147">
        <v>157</v>
      </c>
      <c r="B128" s="151" t="s">
        <v>216</v>
      </c>
      <c r="C128" s="152">
        <v>6400087000</v>
      </c>
      <c r="D128" s="152">
        <v>540</v>
      </c>
      <c r="E128" s="57"/>
      <c r="F128" s="153">
        <f>F129</f>
        <v>1</v>
      </c>
      <c r="G128" s="153">
        <f t="shared" si="59"/>
        <v>1</v>
      </c>
      <c r="H128" s="153">
        <f t="shared" si="59"/>
        <v>1</v>
      </c>
      <c r="I128" s="73">
        <f t="shared" si="52"/>
        <v>0</v>
      </c>
      <c r="J128" s="120">
        <f t="shared" si="53"/>
        <v>100</v>
      </c>
      <c r="L128" s="74">
        <f t="shared" si="49"/>
        <v>1000</v>
      </c>
      <c r="M128" s="79">
        <f t="shared" si="50"/>
        <v>1000</v>
      </c>
      <c r="N128" s="74">
        <f t="shared" si="51"/>
        <v>1000</v>
      </c>
    </row>
    <row r="129" spans="1:14" x14ac:dyDescent="0.2">
      <c r="A129" s="147">
        <v>158</v>
      </c>
      <c r="B129" s="158" t="s">
        <v>153</v>
      </c>
      <c r="C129" s="152">
        <v>6400087000</v>
      </c>
      <c r="D129" s="152">
        <v>540</v>
      </c>
      <c r="E129" s="57" t="s">
        <v>225</v>
      </c>
      <c r="F129" s="153">
        <f>F130</f>
        <v>1</v>
      </c>
      <c r="G129" s="153">
        <f t="shared" si="59"/>
        <v>1</v>
      </c>
      <c r="H129" s="153">
        <f t="shared" si="59"/>
        <v>1</v>
      </c>
      <c r="I129" s="73">
        <f t="shared" si="52"/>
        <v>0</v>
      </c>
      <c r="J129" s="120">
        <f t="shared" si="53"/>
        <v>100</v>
      </c>
      <c r="L129" s="74">
        <f t="shared" si="49"/>
        <v>1000</v>
      </c>
      <c r="M129" s="79">
        <f t="shared" si="50"/>
        <v>1000</v>
      </c>
      <c r="N129" s="74">
        <f t="shared" si="51"/>
        <v>1000</v>
      </c>
    </row>
    <row r="130" spans="1:14" x14ac:dyDescent="0.2">
      <c r="A130" s="147">
        <v>159</v>
      </c>
      <c r="B130" s="158" t="s">
        <v>211</v>
      </c>
      <c r="C130" s="152">
        <v>6400087000</v>
      </c>
      <c r="D130" s="57" t="s">
        <v>80</v>
      </c>
      <c r="E130" s="57" t="s">
        <v>28</v>
      </c>
      <c r="F130" s="153">
        <v>1</v>
      </c>
      <c r="G130" s="153">
        <v>1</v>
      </c>
      <c r="H130" s="153">
        <v>1</v>
      </c>
      <c r="I130" s="73">
        <f t="shared" si="52"/>
        <v>0</v>
      </c>
      <c r="J130" s="120">
        <f t="shared" si="53"/>
        <v>100</v>
      </c>
      <c r="L130" s="74">
        <f t="shared" si="49"/>
        <v>1000</v>
      </c>
      <c r="M130" s="79">
        <f t="shared" si="50"/>
        <v>1000</v>
      </c>
      <c r="N130" s="74">
        <f t="shared" si="51"/>
        <v>1000</v>
      </c>
    </row>
    <row r="131" spans="1:14" x14ac:dyDescent="0.2">
      <c r="A131" s="147">
        <v>160</v>
      </c>
      <c r="B131" s="65" t="s">
        <v>144</v>
      </c>
      <c r="C131" s="18">
        <v>6300000000</v>
      </c>
      <c r="D131" s="40"/>
      <c r="E131" s="40"/>
      <c r="F131" s="67">
        <f>F132</f>
        <v>62.231999999999999</v>
      </c>
      <c r="G131" s="153">
        <f t="shared" ref="G131:H140" si="60">G132</f>
        <v>62.231999999999999</v>
      </c>
      <c r="H131" s="153">
        <f t="shared" si="60"/>
        <v>10</v>
      </c>
      <c r="I131" s="73">
        <f t="shared" si="52"/>
        <v>52.231999999999999</v>
      </c>
      <c r="J131" s="120">
        <f t="shared" si="53"/>
        <v>16.068903458028025</v>
      </c>
      <c r="L131" s="74">
        <f t="shared" si="49"/>
        <v>62232</v>
      </c>
      <c r="M131" s="79">
        <f t="shared" si="50"/>
        <v>62232</v>
      </c>
      <c r="N131" s="74">
        <f t="shared" si="51"/>
        <v>10000</v>
      </c>
    </row>
    <row r="132" spans="1:14" ht="25.5" x14ac:dyDescent="0.2">
      <c r="A132" s="147">
        <v>161</v>
      </c>
      <c r="B132" s="151" t="s">
        <v>235</v>
      </c>
      <c r="C132" s="152">
        <v>6300080000</v>
      </c>
      <c r="D132" s="57"/>
      <c r="E132" s="57"/>
      <c r="F132" s="67">
        <f t="shared" ref="F132:F133" si="61">F133</f>
        <v>62.231999999999999</v>
      </c>
      <c r="G132" s="153">
        <f t="shared" si="60"/>
        <v>62.231999999999999</v>
      </c>
      <c r="H132" s="153">
        <f t="shared" si="60"/>
        <v>10</v>
      </c>
      <c r="I132" s="73">
        <f t="shared" si="52"/>
        <v>52.231999999999999</v>
      </c>
      <c r="J132" s="120">
        <f t="shared" si="53"/>
        <v>16.068903458028025</v>
      </c>
      <c r="L132" s="74">
        <f t="shared" si="49"/>
        <v>62232</v>
      </c>
      <c r="M132" s="79">
        <f t="shared" si="50"/>
        <v>62232</v>
      </c>
      <c r="N132" s="74">
        <f t="shared" si="51"/>
        <v>10000</v>
      </c>
    </row>
    <row r="133" spans="1:14" x14ac:dyDescent="0.2">
      <c r="A133" s="147">
        <v>162</v>
      </c>
      <c r="B133" s="151" t="s">
        <v>236</v>
      </c>
      <c r="C133" s="152">
        <v>6300080230</v>
      </c>
      <c r="D133" s="57" t="s">
        <v>191</v>
      </c>
      <c r="E133" s="57"/>
      <c r="F133" s="67">
        <f t="shared" si="61"/>
        <v>62.231999999999999</v>
      </c>
      <c r="G133" s="153">
        <f t="shared" si="60"/>
        <v>62.231999999999999</v>
      </c>
      <c r="H133" s="153">
        <f t="shared" si="60"/>
        <v>10</v>
      </c>
      <c r="I133" s="73">
        <f t="shared" si="52"/>
        <v>52.231999999999999</v>
      </c>
      <c r="J133" s="120">
        <f t="shared" si="53"/>
        <v>16.068903458028025</v>
      </c>
      <c r="L133" s="74">
        <f t="shared" si="49"/>
        <v>62232</v>
      </c>
      <c r="M133" s="79">
        <f t="shared" si="50"/>
        <v>62232</v>
      </c>
      <c r="N133" s="74">
        <f t="shared" si="51"/>
        <v>10000</v>
      </c>
    </row>
    <row r="134" spans="1:14" x14ac:dyDescent="0.2">
      <c r="A134" s="147">
        <v>163</v>
      </c>
      <c r="B134" s="151" t="s">
        <v>237</v>
      </c>
      <c r="C134" s="152">
        <v>6300080230</v>
      </c>
      <c r="D134" s="57" t="s">
        <v>49</v>
      </c>
      <c r="E134" s="57"/>
      <c r="F134" s="67">
        <f>F135</f>
        <v>62.231999999999999</v>
      </c>
      <c r="G134" s="67">
        <f t="shared" si="60"/>
        <v>62.231999999999999</v>
      </c>
      <c r="H134" s="67">
        <f t="shared" si="60"/>
        <v>10</v>
      </c>
      <c r="I134" s="73">
        <f t="shared" si="52"/>
        <v>52.231999999999999</v>
      </c>
      <c r="J134" s="120">
        <f t="shared" si="53"/>
        <v>16.068903458028025</v>
      </c>
      <c r="L134" s="74">
        <f t="shared" si="49"/>
        <v>62232</v>
      </c>
      <c r="M134" s="79">
        <f t="shared" si="50"/>
        <v>62232</v>
      </c>
      <c r="N134" s="74">
        <f t="shared" si="51"/>
        <v>10000</v>
      </c>
    </row>
    <row r="135" spans="1:14" x14ac:dyDescent="0.2">
      <c r="A135" s="147">
        <v>164</v>
      </c>
      <c r="B135" s="58" t="s">
        <v>238</v>
      </c>
      <c r="C135" s="152">
        <v>6300080230</v>
      </c>
      <c r="D135" s="57" t="s">
        <v>49</v>
      </c>
      <c r="E135" s="57" t="s">
        <v>124</v>
      </c>
      <c r="F135" s="67">
        <f>F136</f>
        <v>62.231999999999999</v>
      </c>
      <c r="G135" s="153">
        <f t="shared" si="60"/>
        <v>62.231999999999999</v>
      </c>
      <c r="H135" s="153">
        <f t="shared" si="60"/>
        <v>10</v>
      </c>
      <c r="I135" s="73">
        <f t="shared" si="52"/>
        <v>52.231999999999999</v>
      </c>
      <c r="J135" s="120">
        <f t="shared" si="53"/>
        <v>16.068903458028025</v>
      </c>
      <c r="L135" s="74">
        <f t="shared" si="49"/>
        <v>62232</v>
      </c>
      <c r="M135" s="79">
        <f t="shared" si="50"/>
        <v>62232</v>
      </c>
      <c r="N135" s="74">
        <f t="shared" si="51"/>
        <v>10000</v>
      </c>
    </row>
    <row r="136" spans="1:14" x14ac:dyDescent="0.2">
      <c r="A136" s="147">
        <v>165</v>
      </c>
      <c r="B136" s="151" t="s">
        <v>239</v>
      </c>
      <c r="C136" s="152">
        <v>6300080230</v>
      </c>
      <c r="D136" s="57" t="s">
        <v>49</v>
      </c>
      <c r="E136" s="57" t="s">
        <v>240</v>
      </c>
      <c r="F136" s="67">
        <v>62.231999999999999</v>
      </c>
      <c r="G136" s="153">
        <v>62.231999999999999</v>
      </c>
      <c r="H136" s="153">
        <v>10</v>
      </c>
      <c r="I136" s="73">
        <f t="shared" si="52"/>
        <v>52.231999999999999</v>
      </c>
      <c r="J136" s="120">
        <f t="shared" si="53"/>
        <v>16.068903458028025</v>
      </c>
      <c r="L136" s="74">
        <f t="shared" si="49"/>
        <v>62232</v>
      </c>
      <c r="M136" s="79">
        <f t="shared" si="50"/>
        <v>62232</v>
      </c>
      <c r="N136" s="74">
        <f t="shared" si="51"/>
        <v>10000</v>
      </c>
    </row>
    <row r="137" spans="1:14" x14ac:dyDescent="0.2">
      <c r="A137" s="147">
        <v>166</v>
      </c>
      <c r="B137" s="65" t="s">
        <v>144</v>
      </c>
      <c r="C137" s="18">
        <v>6300000000</v>
      </c>
      <c r="D137" s="40"/>
      <c r="E137" s="40"/>
      <c r="F137" s="67">
        <f>F138</f>
        <v>0</v>
      </c>
      <c r="G137" s="67">
        <f t="shared" ref="G137:H137" si="62">G138</f>
        <v>70</v>
      </c>
      <c r="H137" s="67">
        <f t="shared" si="62"/>
        <v>70</v>
      </c>
      <c r="I137" s="73">
        <f t="shared" si="52"/>
        <v>0</v>
      </c>
      <c r="J137" s="120">
        <v>0</v>
      </c>
      <c r="L137" s="74">
        <f t="shared" si="49"/>
        <v>0</v>
      </c>
      <c r="M137" s="79">
        <f t="shared" si="50"/>
        <v>70000</v>
      </c>
      <c r="N137" s="74">
        <f t="shared" si="51"/>
        <v>70000</v>
      </c>
    </row>
    <row r="138" spans="1:14" x14ac:dyDescent="0.2">
      <c r="A138" s="147">
        <v>167</v>
      </c>
      <c r="B138" s="151" t="s">
        <v>382</v>
      </c>
      <c r="C138" s="152">
        <v>6400091190</v>
      </c>
      <c r="D138" s="57" t="s">
        <v>191</v>
      </c>
      <c r="E138" s="57"/>
      <c r="F138" s="67">
        <f t="shared" ref="F138" si="63">F139</f>
        <v>0</v>
      </c>
      <c r="G138" s="153">
        <f t="shared" si="60"/>
        <v>70</v>
      </c>
      <c r="H138" s="153">
        <f t="shared" si="60"/>
        <v>70</v>
      </c>
      <c r="I138" s="73">
        <f t="shared" si="52"/>
        <v>0</v>
      </c>
      <c r="J138" s="120">
        <v>0</v>
      </c>
      <c r="L138" s="74">
        <f t="shared" si="49"/>
        <v>0</v>
      </c>
      <c r="M138" s="79">
        <f t="shared" si="50"/>
        <v>70000</v>
      </c>
      <c r="N138" s="74">
        <f t="shared" si="51"/>
        <v>70000</v>
      </c>
    </row>
    <row r="139" spans="1:14" x14ac:dyDescent="0.2">
      <c r="A139" s="147">
        <v>168</v>
      </c>
      <c r="B139" s="151" t="s">
        <v>188</v>
      </c>
      <c r="C139" s="152">
        <v>6400091190</v>
      </c>
      <c r="D139" s="57" t="s">
        <v>381</v>
      </c>
      <c r="E139" s="57"/>
      <c r="F139" s="67">
        <f>F140</f>
        <v>0</v>
      </c>
      <c r="G139" s="67">
        <f t="shared" si="60"/>
        <v>70</v>
      </c>
      <c r="H139" s="67">
        <f t="shared" si="60"/>
        <v>70</v>
      </c>
      <c r="I139" s="73">
        <f t="shared" ref="I139:I141" si="64">G139-H139</f>
        <v>0</v>
      </c>
      <c r="J139" s="120">
        <v>0</v>
      </c>
      <c r="L139" s="74">
        <f t="shared" si="49"/>
        <v>0</v>
      </c>
      <c r="M139" s="79">
        <f t="shared" si="50"/>
        <v>70000</v>
      </c>
      <c r="N139" s="74">
        <f t="shared" si="51"/>
        <v>70000</v>
      </c>
    </row>
    <row r="140" spans="1:14" x14ac:dyDescent="0.2">
      <c r="A140" s="147">
        <v>169</v>
      </c>
      <c r="B140" s="58" t="s">
        <v>238</v>
      </c>
      <c r="C140" s="152">
        <v>6400091190</v>
      </c>
      <c r="D140" s="57" t="s">
        <v>381</v>
      </c>
      <c r="E140" s="57" t="s">
        <v>124</v>
      </c>
      <c r="F140" s="67">
        <f>F141</f>
        <v>0</v>
      </c>
      <c r="G140" s="153">
        <f t="shared" si="60"/>
        <v>70</v>
      </c>
      <c r="H140" s="153">
        <f t="shared" si="60"/>
        <v>70</v>
      </c>
      <c r="I140" s="73">
        <f t="shared" si="64"/>
        <v>0</v>
      </c>
      <c r="J140" s="120">
        <v>0</v>
      </c>
      <c r="L140" s="74">
        <f t="shared" si="49"/>
        <v>0</v>
      </c>
      <c r="M140" s="79">
        <f t="shared" si="50"/>
        <v>70000</v>
      </c>
      <c r="N140" s="74">
        <f t="shared" si="51"/>
        <v>70000</v>
      </c>
    </row>
    <row r="141" spans="1:14" ht="13.5" thickBot="1" x14ac:dyDescent="0.25">
      <c r="A141" s="147">
        <v>170</v>
      </c>
      <c r="B141" s="180" t="s">
        <v>379</v>
      </c>
      <c r="C141" s="181">
        <v>6400091190</v>
      </c>
      <c r="D141" s="182" t="s">
        <v>381</v>
      </c>
      <c r="E141" s="182" t="s">
        <v>380</v>
      </c>
      <c r="F141" s="183">
        <v>0</v>
      </c>
      <c r="G141" s="184">
        <v>70</v>
      </c>
      <c r="H141" s="184">
        <v>70</v>
      </c>
      <c r="I141" s="73">
        <f t="shared" si="64"/>
        <v>0</v>
      </c>
      <c r="J141" s="120">
        <v>0</v>
      </c>
      <c r="L141" s="74">
        <f t="shared" si="49"/>
        <v>0</v>
      </c>
      <c r="M141" s="79">
        <f t="shared" si="50"/>
        <v>70000</v>
      </c>
      <c r="N141" s="74">
        <f t="shared" si="51"/>
        <v>70000</v>
      </c>
    </row>
    <row r="142" spans="1:14" ht="13.5" thickBot="1" x14ac:dyDescent="0.25">
      <c r="A142" s="290" t="s">
        <v>285</v>
      </c>
      <c r="B142" s="291"/>
      <c r="C142" s="291"/>
      <c r="D142" s="291"/>
      <c r="E142" s="292"/>
      <c r="F142" s="185">
        <f>F80+F52+F46+F40+F10+F98+F125+F131+F74+F108+F29+F114+F137+F36</f>
        <v>12556.637999999999</v>
      </c>
      <c r="G142" s="185">
        <f t="shared" ref="G142:H142" si="65">G80+G52+G46+G40+G10+G98+G125+G131+G74+G108+G29+G114+G137+G36</f>
        <v>14468.1968</v>
      </c>
      <c r="H142" s="185">
        <f t="shared" si="65"/>
        <v>3961.5977899999993</v>
      </c>
      <c r="I142" s="185">
        <f>I80+I52+I46+I40+I10+I98+I125+I131+I74+I108+I29+I114</f>
        <v>10505.59901</v>
      </c>
      <c r="J142" s="186">
        <f t="shared" ref="J142" si="66">H142/G142*100</f>
        <v>27.381420399258044</v>
      </c>
    </row>
    <row r="144" spans="1:14" x14ac:dyDescent="0.2">
      <c r="F144" s="20"/>
      <c r="G144" s="20"/>
      <c r="H144" s="20"/>
      <c r="I144" s="20"/>
    </row>
    <row r="146" spans="6:9" x14ac:dyDescent="0.2">
      <c r="F146" s="20">
        <f>F142*1000</f>
        <v>12556637.999999998</v>
      </c>
      <c r="G146" s="20">
        <f t="shared" ref="G146:H146" si="67">G142*1000</f>
        <v>14468196.799999999</v>
      </c>
      <c r="H146" s="20">
        <f t="shared" si="67"/>
        <v>3961597.7899999996</v>
      </c>
      <c r="I146" s="20"/>
    </row>
    <row r="148" spans="6:9" x14ac:dyDescent="0.2">
      <c r="F148" s="20">
        <f>F146-Пр.3!K53</f>
        <v>0</v>
      </c>
      <c r="G148" s="20">
        <f>G146-14468196.8</f>
        <v>0</v>
      </c>
      <c r="H148" s="20">
        <f>H146-3961597.79</f>
        <v>0</v>
      </c>
      <c r="I148" s="20"/>
    </row>
    <row r="150" spans="6:9" x14ac:dyDescent="0.2">
      <c r="F150" s="20"/>
    </row>
  </sheetData>
  <mergeCells count="5">
    <mergeCell ref="E1:J1"/>
    <mergeCell ref="A2:J2"/>
    <mergeCell ref="A5:J5"/>
    <mergeCell ref="D3:K3"/>
    <mergeCell ref="A142:E142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5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53"/>
  <sheetViews>
    <sheetView zoomScaleNormal="100" zoomScaleSheetLayoutView="80" workbookViewId="0">
      <selection activeCell="B2" sqref="B2:K2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287" t="s">
        <v>439</v>
      </c>
      <c r="G1" s="287"/>
      <c r="H1" s="287"/>
      <c r="I1" s="288"/>
      <c r="J1" s="288"/>
      <c r="K1" s="288"/>
      <c r="L1" s="2"/>
      <c r="M1" s="2"/>
      <c r="N1" s="2"/>
    </row>
    <row r="2" spans="1:15" ht="15" customHeight="1" x14ac:dyDescent="0.25">
      <c r="A2" s="4"/>
      <c r="B2" s="270" t="s">
        <v>408</v>
      </c>
      <c r="C2" s="270"/>
      <c r="D2" s="270"/>
      <c r="E2" s="270"/>
      <c r="F2" s="270"/>
      <c r="G2" s="270"/>
      <c r="H2" s="270"/>
      <c r="I2" s="271"/>
      <c r="J2" s="271"/>
      <c r="K2" s="271"/>
      <c r="L2" s="2"/>
      <c r="M2" s="2"/>
      <c r="N2" s="2"/>
    </row>
    <row r="3" spans="1:15" ht="15.75" customHeight="1" x14ac:dyDescent="0.25">
      <c r="A3" s="4"/>
      <c r="B3" s="15"/>
      <c r="C3" s="136"/>
      <c r="D3" s="136"/>
      <c r="E3" s="288" t="s">
        <v>476</v>
      </c>
      <c r="F3" s="288"/>
      <c r="G3" s="288"/>
      <c r="H3" s="288"/>
      <c r="I3" s="288"/>
      <c r="J3" s="288"/>
      <c r="K3" s="288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6" t="s">
        <v>456</v>
      </c>
      <c r="B5" s="256"/>
      <c r="C5" s="256"/>
      <c r="D5" s="256"/>
      <c r="E5" s="296"/>
      <c r="F5" s="296"/>
      <c r="G5" s="296"/>
      <c r="H5" s="296"/>
      <c r="I5" s="296"/>
      <c r="J5" s="296"/>
      <c r="K5" s="296"/>
    </row>
    <row r="6" spans="1:15" ht="16.5" thickBot="1" x14ac:dyDescent="0.3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97"/>
      <c r="M6" s="297"/>
      <c r="N6" s="297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59" t="s">
        <v>452</v>
      </c>
      <c r="I7" s="88" t="s">
        <v>453</v>
      </c>
      <c r="J7" s="160" t="s">
        <v>454</v>
      </c>
      <c r="K7" s="89" t="s">
        <v>274</v>
      </c>
      <c r="L7" s="6"/>
      <c r="M7" s="4"/>
    </row>
    <row r="8" spans="1:15" ht="13.5" thickBot="1" x14ac:dyDescent="0.25">
      <c r="A8" s="210">
        <v>1</v>
      </c>
      <c r="B8" s="211">
        <v>2</v>
      </c>
      <c r="C8" s="211">
        <v>3</v>
      </c>
      <c r="D8" s="211">
        <v>4</v>
      </c>
      <c r="E8" s="211">
        <v>5</v>
      </c>
      <c r="F8" s="211">
        <v>6</v>
      </c>
      <c r="G8" s="211">
        <v>7</v>
      </c>
      <c r="H8" s="211">
        <v>8</v>
      </c>
      <c r="I8" s="211">
        <v>9</v>
      </c>
      <c r="J8" s="211">
        <v>10</v>
      </c>
      <c r="K8" s="216">
        <v>11</v>
      </c>
      <c r="L8" s="6"/>
      <c r="M8" s="4"/>
    </row>
    <row r="9" spans="1:15" ht="13.5" x14ac:dyDescent="0.2">
      <c r="A9" s="213">
        <v>1</v>
      </c>
      <c r="B9" s="53" t="s">
        <v>8</v>
      </c>
      <c r="C9" s="54">
        <v>807</v>
      </c>
      <c r="D9" s="55"/>
      <c r="E9" s="55"/>
      <c r="F9" s="55"/>
      <c r="G9" s="56"/>
      <c r="H9" s="226">
        <f>H10+H66+H91+H103+H77</f>
        <v>12493.406000000001</v>
      </c>
      <c r="I9" s="226">
        <f>I10+I66+I91+I103+I77</f>
        <v>14334.964800000002</v>
      </c>
      <c r="J9" s="226">
        <f>J10+J66+J91+J103+J77</f>
        <v>3880.5977899999998</v>
      </c>
      <c r="K9" s="161">
        <f>J9/I9*100</f>
        <v>27.070856776711437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27">
        <f>H11+H18+H23+H49+H63+H43</f>
        <v>9548.4340000000011</v>
      </c>
      <c r="I10" s="227">
        <f>I11+I18+I23+I49+I63+I43</f>
        <v>9685.9469600000011</v>
      </c>
      <c r="J10" s="227">
        <f>J11+J18+J23+J49+J63+J43</f>
        <v>2111.68091</v>
      </c>
      <c r="K10" s="162">
        <f>J10/I10*100</f>
        <v>21.801491570422556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27">
        <f>H12</f>
        <v>1021.0346499999999</v>
      </c>
      <c r="I11" s="227">
        <f t="shared" ref="I11:J12" si="0">I12</f>
        <v>1046.0346500000001</v>
      </c>
      <c r="J11" s="227">
        <f t="shared" si="0"/>
        <v>217.30606</v>
      </c>
      <c r="K11" s="162">
        <f t="shared" ref="K11:K79" si="1">J11/I11*100</f>
        <v>20.77426976247871</v>
      </c>
      <c r="M11" s="20">
        <f>H11*1000</f>
        <v>1021034.6499999999</v>
      </c>
      <c r="N11" s="20">
        <f>I11*1000</f>
        <v>1046034.65</v>
      </c>
    </row>
    <row r="12" spans="1:15" ht="12.75" x14ac:dyDescent="0.2">
      <c r="A12" s="32">
        <v>4</v>
      </c>
      <c r="B12" s="215" t="s">
        <v>139</v>
      </c>
      <c r="C12" s="33">
        <v>807</v>
      </c>
      <c r="D12" s="35" t="s">
        <v>25</v>
      </c>
      <c r="E12" s="35" t="s">
        <v>267</v>
      </c>
      <c r="F12" s="35"/>
      <c r="G12" s="35"/>
      <c r="H12" s="227">
        <f>H13</f>
        <v>1021.0346499999999</v>
      </c>
      <c r="I12" s="227">
        <f t="shared" si="0"/>
        <v>1046.0346500000001</v>
      </c>
      <c r="J12" s="227">
        <f t="shared" si="0"/>
        <v>217.30606</v>
      </c>
      <c r="K12" s="162">
        <f t="shared" si="1"/>
        <v>20.77426976247871</v>
      </c>
      <c r="M12" s="20">
        <f t="shared" ref="M12:N12" si="2">H12*1000</f>
        <v>1021034.6499999999</v>
      </c>
      <c r="N12" s="20">
        <f t="shared" si="2"/>
        <v>1046034.65</v>
      </c>
      <c r="O12" s="20">
        <f>J12*1000</f>
        <v>217306.06</v>
      </c>
    </row>
    <row r="13" spans="1:15" ht="25.5" x14ac:dyDescent="0.2">
      <c r="A13" s="32">
        <v>5</v>
      </c>
      <c r="B13" s="215" t="s">
        <v>140</v>
      </c>
      <c r="C13" s="80">
        <v>807</v>
      </c>
      <c r="D13" s="35" t="s">
        <v>25</v>
      </c>
      <c r="E13" s="35" t="s">
        <v>267</v>
      </c>
      <c r="F13" s="35" t="s">
        <v>74</v>
      </c>
      <c r="G13" s="35"/>
      <c r="H13" s="227">
        <f>SUM(H14:H17)</f>
        <v>1021.0346499999999</v>
      </c>
      <c r="I13" s="227">
        <f>SUM(I14:I17)</f>
        <v>1046.0346500000001</v>
      </c>
      <c r="J13" s="227">
        <f>SUM(J14:J17)</f>
        <v>217.30606</v>
      </c>
      <c r="K13" s="162">
        <f t="shared" si="1"/>
        <v>20.77426976247871</v>
      </c>
      <c r="M13" s="20">
        <f t="shared" ref="M13:M65" si="3">H13*1000</f>
        <v>1021034.6499999999</v>
      </c>
      <c r="N13" s="20">
        <f t="shared" ref="N13:N65" si="4">I13*1000</f>
        <v>1046034.65</v>
      </c>
      <c r="O13" s="20">
        <f t="shared" ref="O13:O65" si="5">J13*1000</f>
        <v>217306.06</v>
      </c>
    </row>
    <row r="14" spans="1:15" ht="12.75" x14ac:dyDescent="0.2">
      <c r="A14" s="32">
        <v>6</v>
      </c>
      <c r="B14" s="215" t="s">
        <v>32</v>
      </c>
      <c r="C14" s="80">
        <v>807</v>
      </c>
      <c r="D14" s="35" t="s">
        <v>25</v>
      </c>
      <c r="E14" s="35" t="s">
        <v>167</v>
      </c>
      <c r="F14" s="35" t="s">
        <v>67</v>
      </c>
      <c r="G14" s="35" t="s">
        <v>37</v>
      </c>
      <c r="H14" s="227">
        <v>784.20479999999998</v>
      </c>
      <c r="I14" s="227">
        <v>784.20479999999998</v>
      </c>
      <c r="J14" s="227">
        <v>177.83441999999999</v>
      </c>
      <c r="K14" s="162">
        <f t="shared" si="1"/>
        <v>22.677037937028693</v>
      </c>
      <c r="M14" s="20">
        <f t="shared" si="3"/>
        <v>784204.79999999993</v>
      </c>
      <c r="N14" s="20">
        <f t="shared" si="4"/>
        <v>784204.79999999993</v>
      </c>
      <c r="O14" s="20">
        <f t="shared" si="5"/>
        <v>177834.41999999998</v>
      </c>
    </row>
    <row r="15" spans="1:15" ht="12.75" x14ac:dyDescent="0.2">
      <c r="A15" s="32">
        <v>7</v>
      </c>
      <c r="B15" s="215" t="s">
        <v>39</v>
      </c>
      <c r="C15" s="36">
        <v>807</v>
      </c>
      <c r="D15" s="35" t="s">
        <v>25</v>
      </c>
      <c r="E15" s="35" t="s">
        <v>167</v>
      </c>
      <c r="F15" s="35" t="s">
        <v>171</v>
      </c>
      <c r="G15" s="35" t="s">
        <v>38</v>
      </c>
      <c r="H15" s="227">
        <v>236.82984999999999</v>
      </c>
      <c r="I15" s="227">
        <v>236.82984999999999</v>
      </c>
      <c r="J15" s="227">
        <v>39.471640000000001</v>
      </c>
      <c r="K15" s="162">
        <f t="shared" si="1"/>
        <v>16.666665962926551</v>
      </c>
      <c r="M15" s="20">
        <f t="shared" si="3"/>
        <v>236829.85</v>
      </c>
      <c r="N15" s="20">
        <f t="shared" si="4"/>
        <v>236829.85</v>
      </c>
      <c r="O15" s="20">
        <f t="shared" si="5"/>
        <v>39471.64</v>
      </c>
    </row>
    <row r="16" spans="1:15" ht="12.75" x14ac:dyDescent="0.2">
      <c r="A16" s="32">
        <v>8</v>
      </c>
      <c r="B16" s="215" t="s">
        <v>374</v>
      </c>
      <c r="C16" s="36">
        <v>807</v>
      </c>
      <c r="D16" s="35" t="s">
        <v>25</v>
      </c>
      <c r="E16" s="35" t="s">
        <v>167</v>
      </c>
      <c r="F16" s="35" t="s">
        <v>176</v>
      </c>
      <c r="G16" s="35" t="s">
        <v>376</v>
      </c>
      <c r="H16" s="227">
        <v>0</v>
      </c>
      <c r="I16" s="227">
        <v>8</v>
      </c>
      <c r="J16" s="227">
        <v>0</v>
      </c>
      <c r="K16" s="162">
        <f t="shared" si="1"/>
        <v>0</v>
      </c>
      <c r="M16" s="20">
        <f t="shared" si="3"/>
        <v>0</v>
      </c>
      <c r="N16" s="20">
        <f t="shared" si="4"/>
        <v>8000</v>
      </c>
      <c r="O16" s="20">
        <f t="shared" si="5"/>
        <v>0</v>
      </c>
    </row>
    <row r="17" spans="1:16" ht="12.75" x14ac:dyDescent="0.2">
      <c r="A17" s="32">
        <v>9</v>
      </c>
      <c r="B17" s="215" t="s">
        <v>375</v>
      </c>
      <c r="C17" s="36">
        <v>807</v>
      </c>
      <c r="D17" s="35" t="s">
        <v>25</v>
      </c>
      <c r="E17" s="35" t="s">
        <v>167</v>
      </c>
      <c r="F17" s="35" t="s">
        <v>176</v>
      </c>
      <c r="G17" s="35" t="s">
        <v>46</v>
      </c>
      <c r="H17" s="227">
        <v>0</v>
      </c>
      <c r="I17" s="227">
        <v>17</v>
      </c>
      <c r="J17" s="227">
        <v>0</v>
      </c>
      <c r="K17" s="162">
        <f t="shared" si="1"/>
        <v>0</v>
      </c>
      <c r="M17" s="20">
        <f t="shared" si="3"/>
        <v>0</v>
      </c>
      <c r="N17" s="20">
        <f t="shared" si="4"/>
        <v>17000</v>
      </c>
      <c r="O17" s="20">
        <f t="shared" si="5"/>
        <v>0</v>
      </c>
    </row>
    <row r="18" spans="1:16" ht="38.25" x14ac:dyDescent="0.2">
      <c r="A18" s="32">
        <v>10</v>
      </c>
      <c r="B18" s="42" t="s">
        <v>19</v>
      </c>
      <c r="C18" s="36">
        <v>807</v>
      </c>
      <c r="D18" s="35" t="s">
        <v>26</v>
      </c>
      <c r="E18" s="35"/>
      <c r="F18" s="35"/>
      <c r="G18" s="35"/>
      <c r="H18" s="227">
        <f>H19</f>
        <v>935.93009000000006</v>
      </c>
      <c r="I18" s="227">
        <f t="shared" ref="I18:J19" si="6">I19</f>
        <v>935.93009000000006</v>
      </c>
      <c r="J18" s="227">
        <f t="shared" si="6"/>
        <v>179.67714999999998</v>
      </c>
      <c r="K18" s="162">
        <f t="shared" si="1"/>
        <v>19.197710589687311</v>
      </c>
      <c r="M18" s="20">
        <f t="shared" si="3"/>
        <v>935930.09000000008</v>
      </c>
      <c r="N18" s="20">
        <f t="shared" si="4"/>
        <v>935930.09000000008</v>
      </c>
      <c r="O18" s="20">
        <f t="shared" si="5"/>
        <v>179677.15</v>
      </c>
    </row>
    <row r="19" spans="1:16" ht="12.75" x14ac:dyDescent="0.2">
      <c r="A19" s="32">
        <v>11</v>
      </c>
      <c r="B19" s="215" t="s">
        <v>139</v>
      </c>
      <c r="C19" s="36">
        <v>807</v>
      </c>
      <c r="D19" s="35" t="s">
        <v>26</v>
      </c>
      <c r="E19" s="35" t="s">
        <v>268</v>
      </c>
      <c r="F19" s="35"/>
      <c r="G19" s="35"/>
      <c r="H19" s="227">
        <f>H20</f>
        <v>935.93009000000006</v>
      </c>
      <c r="I19" s="227">
        <f>I20</f>
        <v>935.93009000000006</v>
      </c>
      <c r="J19" s="227">
        <f t="shared" si="6"/>
        <v>179.67714999999998</v>
      </c>
      <c r="K19" s="162">
        <f t="shared" si="1"/>
        <v>19.197710589687311</v>
      </c>
      <c r="M19" s="20">
        <f t="shared" si="3"/>
        <v>935930.09000000008</v>
      </c>
      <c r="N19" s="20">
        <f t="shared" si="4"/>
        <v>935930.09000000008</v>
      </c>
      <c r="O19" s="20">
        <f t="shared" si="5"/>
        <v>179677.15</v>
      </c>
    </row>
    <row r="20" spans="1:16" ht="12.75" x14ac:dyDescent="0.2">
      <c r="A20" s="32">
        <v>12</v>
      </c>
      <c r="B20" s="215" t="s">
        <v>141</v>
      </c>
      <c r="C20" s="36">
        <v>807</v>
      </c>
      <c r="D20" s="35" t="s">
        <v>26</v>
      </c>
      <c r="E20" s="35" t="s">
        <v>268</v>
      </c>
      <c r="F20" s="35" t="s">
        <v>74</v>
      </c>
      <c r="G20" s="35"/>
      <c r="H20" s="227">
        <f>SUM(H21:H22)</f>
        <v>935.93009000000006</v>
      </c>
      <c r="I20" s="227">
        <f>SUM(I21:I22)</f>
        <v>935.93009000000006</v>
      </c>
      <c r="J20" s="227">
        <f>SUM(J21:J22)</f>
        <v>179.67714999999998</v>
      </c>
      <c r="K20" s="162">
        <f t="shared" si="1"/>
        <v>19.197710589687311</v>
      </c>
      <c r="M20" s="20">
        <f t="shared" si="3"/>
        <v>935930.09000000008</v>
      </c>
      <c r="N20" s="20">
        <f t="shared" si="4"/>
        <v>935930.09000000008</v>
      </c>
      <c r="O20" s="20">
        <f t="shared" si="5"/>
        <v>179677.15</v>
      </c>
    </row>
    <row r="21" spans="1:16" ht="12.75" x14ac:dyDescent="0.2">
      <c r="A21" s="32">
        <v>13</v>
      </c>
      <c r="B21" s="215" t="s">
        <v>32</v>
      </c>
      <c r="C21" s="36">
        <v>807</v>
      </c>
      <c r="D21" s="35" t="s">
        <v>26</v>
      </c>
      <c r="E21" s="35" t="s">
        <v>168</v>
      </c>
      <c r="F21" s="35" t="s">
        <v>67</v>
      </c>
      <c r="G21" s="35" t="s">
        <v>37</v>
      </c>
      <c r="H21" s="227">
        <v>718.84032000000002</v>
      </c>
      <c r="I21" s="227">
        <v>718.84032000000002</v>
      </c>
      <c r="J21" s="227">
        <v>143.49551</v>
      </c>
      <c r="K21" s="162">
        <f t="shared" si="1"/>
        <v>19.962084208075584</v>
      </c>
      <c r="M21" s="20">
        <f t="shared" si="3"/>
        <v>718840.32000000007</v>
      </c>
      <c r="N21" s="20">
        <f t="shared" si="4"/>
        <v>718840.32000000007</v>
      </c>
      <c r="O21" s="20">
        <f t="shared" si="5"/>
        <v>143495.51</v>
      </c>
    </row>
    <row r="22" spans="1:16" ht="12.75" x14ac:dyDescent="0.2">
      <c r="A22" s="32">
        <v>14</v>
      </c>
      <c r="B22" s="215" t="s">
        <v>39</v>
      </c>
      <c r="C22" s="36">
        <v>807</v>
      </c>
      <c r="D22" s="35" t="s">
        <v>26</v>
      </c>
      <c r="E22" s="35" t="s">
        <v>168</v>
      </c>
      <c r="F22" s="35" t="s">
        <v>171</v>
      </c>
      <c r="G22" s="35" t="s">
        <v>38</v>
      </c>
      <c r="H22" s="227">
        <v>217.08976999999999</v>
      </c>
      <c r="I22" s="227">
        <v>217.08976999999999</v>
      </c>
      <c r="J22" s="227">
        <v>36.181640000000002</v>
      </c>
      <c r="K22" s="162">
        <f t="shared" si="1"/>
        <v>16.666672040787553</v>
      </c>
      <c r="M22" s="20">
        <f t="shared" si="3"/>
        <v>217089.77</v>
      </c>
      <c r="N22" s="20">
        <f t="shared" si="4"/>
        <v>217089.77</v>
      </c>
      <c r="O22" s="20">
        <f t="shared" si="5"/>
        <v>36181.64</v>
      </c>
    </row>
    <row r="23" spans="1:16" ht="38.25" x14ac:dyDescent="0.2">
      <c r="A23" s="32">
        <v>15</v>
      </c>
      <c r="B23" s="42" t="s">
        <v>20</v>
      </c>
      <c r="C23" s="36">
        <v>807</v>
      </c>
      <c r="D23" s="35" t="s">
        <v>27</v>
      </c>
      <c r="E23" s="35"/>
      <c r="F23" s="35"/>
      <c r="G23" s="35"/>
      <c r="H23" s="227">
        <f>H24</f>
        <v>5712.3517900000006</v>
      </c>
      <c r="I23" s="227">
        <f>I24</f>
        <v>5757.5607900000014</v>
      </c>
      <c r="J23" s="227">
        <f t="shared" ref="J23" si="7">J24</f>
        <v>1286.3563099999999</v>
      </c>
      <c r="K23" s="162">
        <f t="shared" si="1"/>
        <v>22.342036096852041</v>
      </c>
      <c r="M23" s="20">
        <f t="shared" si="3"/>
        <v>5712351.790000001</v>
      </c>
      <c r="N23" s="20">
        <f t="shared" si="4"/>
        <v>5757560.790000001</v>
      </c>
      <c r="O23" s="20">
        <f t="shared" si="5"/>
        <v>1286356.3099999998</v>
      </c>
    </row>
    <row r="24" spans="1:16" ht="12.75" x14ac:dyDescent="0.2">
      <c r="A24" s="32">
        <v>16</v>
      </c>
      <c r="B24" s="215" t="s">
        <v>142</v>
      </c>
      <c r="C24" s="36">
        <v>807</v>
      </c>
      <c r="D24" s="35" t="s">
        <v>27</v>
      </c>
      <c r="E24" s="35" t="s">
        <v>241</v>
      </c>
      <c r="F24" s="35"/>
      <c r="G24" s="35"/>
      <c r="H24" s="227">
        <f>SUM(H25:H42)</f>
        <v>5712.3517900000006</v>
      </c>
      <c r="I24" s="227">
        <f>SUM(I25:I42)</f>
        <v>5757.5607900000014</v>
      </c>
      <c r="J24" s="227">
        <f>SUM(J25:J42)</f>
        <v>1286.3563099999999</v>
      </c>
      <c r="K24" s="162">
        <f t="shared" si="1"/>
        <v>22.342036096852041</v>
      </c>
      <c r="M24" s="20">
        <f t="shared" si="3"/>
        <v>5712351.790000001</v>
      </c>
      <c r="N24" s="20">
        <f t="shared" si="4"/>
        <v>5757560.790000001</v>
      </c>
      <c r="O24" s="20">
        <f t="shared" si="5"/>
        <v>1286356.3099999998</v>
      </c>
    </row>
    <row r="25" spans="1:16" ht="12.75" x14ac:dyDescent="0.2">
      <c r="A25" s="32">
        <v>17</v>
      </c>
      <c r="B25" s="215" t="s">
        <v>32</v>
      </c>
      <c r="C25" s="36">
        <v>807</v>
      </c>
      <c r="D25" s="35" t="s">
        <v>27</v>
      </c>
      <c r="E25" s="35" t="s">
        <v>169</v>
      </c>
      <c r="F25" s="35" t="s">
        <v>67</v>
      </c>
      <c r="G25" s="35" t="s">
        <v>37</v>
      </c>
      <c r="H25" s="227">
        <v>3363.7595099999999</v>
      </c>
      <c r="I25" s="227">
        <v>3353.7595099999999</v>
      </c>
      <c r="J25" s="227">
        <f>558.21405</f>
        <v>558.21405000000004</v>
      </c>
      <c r="K25" s="162">
        <f t="shared" si="1"/>
        <v>16.644426898695549</v>
      </c>
      <c r="M25" s="20">
        <f t="shared" si="3"/>
        <v>3363759.51</v>
      </c>
      <c r="N25" s="20">
        <f t="shared" si="4"/>
        <v>3353759.51</v>
      </c>
      <c r="O25" s="20">
        <f t="shared" si="5"/>
        <v>558214.05000000005</v>
      </c>
      <c r="P25" s="20"/>
    </row>
    <row r="26" spans="1:16" ht="12.75" x14ac:dyDescent="0.2">
      <c r="A26" s="32">
        <v>18</v>
      </c>
      <c r="B26" s="215" t="s">
        <v>39</v>
      </c>
      <c r="C26" s="36">
        <v>807</v>
      </c>
      <c r="D26" s="35" t="s">
        <v>27</v>
      </c>
      <c r="E26" s="35" t="s">
        <v>169</v>
      </c>
      <c r="F26" s="35" t="s">
        <v>171</v>
      </c>
      <c r="G26" s="35" t="s">
        <v>38</v>
      </c>
      <c r="H26" s="227">
        <v>1015.85538</v>
      </c>
      <c r="I26" s="227">
        <v>1015.85538</v>
      </c>
      <c r="J26" s="227">
        <v>139.67162999999999</v>
      </c>
      <c r="K26" s="162">
        <f t="shared" si="1"/>
        <v>13.749164767921984</v>
      </c>
      <c r="M26" s="20">
        <f t="shared" si="3"/>
        <v>1015855.38</v>
      </c>
      <c r="N26" s="20">
        <f t="shared" si="4"/>
        <v>1015855.38</v>
      </c>
      <c r="O26" s="20">
        <f t="shared" si="5"/>
        <v>139671.63</v>
      </c>
    </row>
    <row r="27" spans="1:16" ht="12.75" x14ac:dyDescent="0.2">
      <c r="A27" s="32">
        <v>19</v>
      </c>
      <c r="B27" s="215" t="s">
        <v>32</v>
      </c>
      <c r="C27" s="36">
        <v>807</v>
      </c>
      <c r="D27" s="35" t="s">
        <v>27</v>
      </c>
      <c r="E27" s="35" t="s">
        <v>373</v>
      </c>
      <c r="F27" s="35" t="s">
        <v>67</v>
      </c>
      <c r="G27" s="35" t="s">
        <v>37</v>
      </c>
      <c r="H27" s="227">
        <v>0</v>
      </c>
      <c r="I27" s="227">
        <v>13.901999999999999</v>
      </c>
      <c r="J27" s="227">
        <v>7.415</v>
      </c>
      <c r="K27" s="162">
        <f t="shared" si="1"/>
        <v>53.337649259099415</v>
      </c>
      <c r="M27" s="20">
        <f t="shared" si="3"/>
        <v>0</v>
      </c>
      <c r="N27" s="20">
        <f t="shared" si="4"/>
        <v>13902</v>
      </c>
      <c r="O27" s="20">
        <f t="shared" si="5"/>
        <v>7415</v>
      </c>
    </row>
    <row r="28" spans="1:16" ht="12.75" x14ac:dyDescent="0.2">
      <c r="A28" s="32">
        <v>20</v>
      </c>
      <c r="B28" s="215" t="s">
        <v>39</v>
      </c>
      <c r="C28" s="36">
        <v>807</v>
      </c>
      <c r="D28" s="35" t="s">
        <v>27</v>
      </c>
      <c r="E28" s="35" t="s">
        <v>373</v>
      </c>
      <c r="F28" s="35" t="s">
        <v>171</v>
      </c>
      <c r="G28" s="35" t="s">
        <v>38</v>
      </c>
      <c r="H28" s="227">
        <v>0</v>
      </c>
      <c r="I28" s="227">
        <v>4.1980000000000004</v>
      </c>
      <c r="J28" s="227">
        <v>2.2400000000000002</v>
      </c>
      <c r="K28" s="162">
        <f t="shared" si="1"/>
        <v>53.358742258218193</v>
      </c>
      <c r="M28" s="20">
        <f t="shared" si="3"/>
        <v>0</v>
      </c>
      <c r="N28" s="20">
        <f t="shared" si="4"/>
        <v>4198</v>
      </c>
      <c r="O28" s="20">
        <f t="shared" si="5"/>
        <v>2240</v>
      </c>
      <c r="P28" s="20">
        <f>O25+O29</f>
        <v>565969.6100000001</v>
      </c>
    </row>
    <row r="29" spans="1:16" ht="12.75" x14ac:dyDescent="0.2">
      <c r="A29" s="32">
        <v>21</v>
      </c>
      <c r="B29" s="215" t="s">
        <v>269</v>
      </c>
      <c r="C29" s="36">
        <v>807</v>
      </c>
      <c r="D29" s="35" t="s">
        <v>27</v>
      </c>
      <c r="E29" s="35" t="s">
        <v>169</v>
      </c>
      <c r="F29" s="35" t="s">
        <v>67</v>
      </c>
      <c r="G29" s="35" t="s">
        <v>270</v>
      </c>
      <c r="H29" s="227">
        <v>0</v>
      </c>
      <c r="I29" s="227">
        <v>10</v>
      </c>
      <c r="J29" s="227">
        <v>7.75556</v>
      </c>
      <c r="K29" s="162">
        <f t="shared" si="1"/>
        <v>77.555599999999998</v>
      </c>
      <c r="M29" s="20">
        <f t="shared" si="3"/>
        <v>0</v>
      </c>
      <c r="N29" s="20">
        <f t="shared" si="4"/>
        <v>10000</v>
      </c>
      <c r="O29" s="20">
        <f t="shared" si="5"/>
        <v>7755.56</v>
      </c>
    </row>
    <row r="30" spans="1:16" ht="12.75" x14ac:dyDescent="0.2">
      <c r="A30" s="32">
        <v>22</v>
      </c>
      <c r="B30" s="215" t="s">
        <v>47</v>
      </c>
      <c r="C30" s="36">
        <v>807</v>
      </c>
      <c r="D30" s="35" t="s">
        <v>27</v>
      </c>
      <c r="E30" s="35" t="s">
        <v>169</v>
      </c>
      <c r="F30" s="35" t="s">
        <v>176</v>
      </c>
      <c r="G30" s="35" t="s">
        <v>48</v>
      </c>
      <c r="H30" s="227">
        <v>0</v>
      </c>
      <c r="I30" s="227">
        <v>0</v>
      </c>
      <c r="J30" s="227">
        <v>0</v>
      </c>
      <c r="K30" s="162">
        <v>0</v>
      </c>
      <c r="M30" s="20">
        <f t="shared" si="3"/>
        <v>0</v>
      </c>
      <c r="N30" s="20">
        <f t="shared" si="4"/>
        <v>0</v>
      </c>
      <c r="O30" s="20">
        <f t="shared" si="5"/>
        <v>0</v>
      </c>
    </row>
    <row r="31" spans="1:16" ht="12.75" x14ac:dyDescent="0.2">
      <c r="A31" s="32">
        <v>23</v>
      </c>
      <c r="B31" s="215" t="s">
        <v>33</v>
      </c>
      <c r="C31" s="36">
        <v>807</v>
      </c>
      <c r="D31" s="35" t="s">
        <v>27</v>
      </c>
      <c r="E31" s="35" t="s">
        <v>169</v>
      </c>
      <c r="F31" s="35" t="s">
        <v>68</v>
      </c>
      <c r="G31" s="35" t="s">
        <v>41</v>
      </c>
      <c r="H31" s="227">
        <v>52.725999999999999</v>
      </c>
      <c r="I31" s="227">
        <v>54.835000000000001</v>
      </c>
      <c r="J31" s="227">
        <v>15.65455</v>
      </c>
      <c r="K31" s="162">
        <f t="shared" si="1"/>
        <v>28.548463572535788</v>
      </c>
      <c r="M31" s="20">
        <f t="shared" si="3"/>
        <v>52726</v>
      </c>
      <c r="N31" s="20">
        <f t="shared" si="4"/>
        <v>54835</v>
      </c>
      <c r="O31" s="20">
        <f t="shared" si="5"/>
        <v>15654.550000000001</v>
      </c>
    </row>
    <row r="32" spans="1:16" ht="12.75" x14ac:dyDescent="0.2">
      <c r="A32" s="32">
        <v>24</v>
      </c>
      <c r="B32" s="215" t="s">
        <v>34</v>
      </c>
      <c r="C32" s="36">
        <v>807</v>
      </c>
      <c r="D32" s="35" t="s">
        <v>27</v>
      </c>
      <c r="E32" s="35" t="s">
        <v>169</v>
      </c>
      <c r="F32" s="35" t="s">
        <v>68</v>
      </c>
      <c r="G32" s="35" t="s">
        <v>42</v>
      </c>
      <c r="H32" s="227">
        <v>22.47176</v>
      </c>
      <c r="I32" s="227">
        <v>22.47176</v>
      </c>
      <c r="J32" s="227">
        <v>1.21878</v>
      </c>
      <c r="K32" s="162">
        <f t="shared" si="1"/>
        <v>5.4236072296962945</v>
      </c>
      <c r="M32" s="20">
        <f t="shared" si="3"/>
        <v>22471.759999999998</v>
      </c>
      <c r="N32" s="20">
        <f t="shared" si="4"/>
        <v>22471.759999999998</v>
      </c>
      <c r="O32" s="20">
        <f t="shared" si="5"/>
        <v>1218.78</v>
      </c>
      <c r="P32" s="20">
        <f>O31+O32+O35+O36+O41</f>
        <v>84060.56</v>
      </c>
    </row>
    <row r="33" spans="1:16" ht="12.75" x14ac:dyDescent="0.2">
      <c r="A33" s="32">
        <v>25</v>
      </c>
      <c r="B33" s="215" t="s">
        <v>34</v>
      </c>
      <c r="C33" s="36">
        <v>807</v>
      </c>
      <c r="D33" s="35" t="s">
        <v>27</v>
      </c>
      <c r="E33" s="35" t="s">
        <v>169</v>
      </c>
      <c r="F33" s="35" t="s">
        <v>377</v>
      </c>
      <c r="G33" s="35" t="s">
        <v>42</v>
      </c>
      <c r="H33" s="227">
        <v>1020</v>
      </c>
      <c r="I33" s="227">
        <v>1020</v>
      </c>
      <c r="J33" s="227">
        <v>435.27150999999998</v>
      </c>
      <c r="K33" s="162">
        <f t="shared" si="1"/>
        <v>42.673677450980392</v>
      </c>
      <c r="M33" s="20">
        <f t="shared" si="3"/>
        <v>1020000</v>
      </c>
      <c r="N33" s="20">
        <f t="shared" si="4"/>
        <v>1020000</v>
      </c>
      <c r="O33" s="20">
        <f t="shared" si="5"/>
        <v>435271.50999999995</v>
      </c>
      <c r="P33" s="20"/>
    </row>
    <row r="34" spans="1:16" ht="12.75" x14ac:dyDescent="0.2">
      <c r="A34" s="32">
        <v>26</v>
      </c>
      <c r="B34" s="215" t="s">
        <v>43</v>
      </c>
      <c r="C34" s="36">
        <v>807</v>
      </c>
      <c r="D34" s="35" t="s">
        <v>27</v>
      </c>
      <c r="E34" s="35" t="s">
        <v>169</v>
      </c>
      <c r="F34" s="35" t="s">
        <v>68</v>
      </c>
      <c r="G34" s="35" t="s">
        <v>44</v>
      </c>
      <c r="H34" s="227">
        <v>7.5</v>
      </c>
      <c r="I34" s="227">
        <v>27.5</v>
      </c>
      <c r="J34" s="227">
        <v>0</v>
      </c>
      <c r="K34" s="162">
        <f t="shared" si="1"/>
        <v>0</v>
      </c>
      <c r="M34" s="20">
        <f t="shared" si="3"/>
        <v>7500</v>
      </c>
      <c r="N34" s="20">
        <f t="shared" si="4"/>
        <v>27500</v>
      </c>
      <c r="O34" s="20">
        <f t="shared" si="5"/>
        <v>0</v>
      </c>
    </row>
    <row r="35" spans="1:16" ht="12.75" x14ac:dyDescent="0.2">
      <c r="A35" s="32">
        <v>27</v>
      </c>
      <c r="B35" s="215" t="s">
        <v>45</v>
      </c>
      <c r="C35" s="36">
        <v>807</v>
      </c>
      <c r="D35" s="35" t="s">
        <v>27</v>
      </c>
      <c r="E35" s="35" t="s">
        <v>169</v>
      </c>
      <c r="F35" s="35" t="s">
        <v>68</v>
      </c>
      <c r="G35" s="35" t="s">
        <v>46</v>
      </c>
      <c r="H35" s="227">
        <v>16.8</v>
      </c>
      <c r="I35" s="227">
        <v>34.93</v>
      </c>
      <c r="J35" s="227">
        <v>19.39</v>
      </c>
      <c r="K35" s="162">
        <f t="shared" si="1"/>
        <v>55.511022044088179</v>
      </c>
      <c r="M35" s="20">
        <f t="shared" si="3"/>
        <v>16800</v>
      </c>
      <c r="N35" s="20">
        <f t="shared" si="4"/>
        <v>34930</v>
      </c>
      <c r="O35" s="20">
        <f t="shared" si="5"/>
        <v>19390</v>
      </c>
    </row>
    <row r="36" spans="1:16" ht="12.75" x14ac:dyDescent="0.2">
      <c r="A36" s="32">
        <v>28</v>
      </c>
      <c r="B36" s="215" t="s">
        <v>208</v>
      </c>
      <c r="C36" s="36">
        <v>807</v>
      </c>
      <c r="D36" s="35" t="s">
        <v>27</v>
      </c>
      <c r="E36" s="35" t="s">
        <v>169</v>
      </c>
      <c r="F36" s="35" t="s">
        <v>68</v>
      </c>
      <c r="G36" s="35" t="s">
        <v>207</v>
      </c>
      <c r="H36" s="227">
        <v>11.251139999999999</v>
      </c>
      <c r="I36" s="227">
        <v>11.251139999999999</v>
      </c>
      <c r="J36" s="227">
        <v>2.7972299999999999</v>
      </c>
      <c r="K36" s="162">
        <f t="shared" si="1"/>
        <v>24.861747342935917</v>
      </c>
      <c r="M36" s="20">
        <f t="shared" si="3"/>
        <v>11251.14</v>
      </c>
      <c r="N36" s="20">
        <f t="shared" si="4"/>
        <v>11251.14</v>
      </c>
      <c r="O36" s="20">
        <f t="shared" si="5"/>
        <v>2797.23</v>
      </c>
    </row>
    <row r="37" spans="1:16" ht="12.75" x14ac:dyDescent="0.2">
      <c r="A37" s="32">
        <v>29</v>
      </c>
      <c r="B37" s="215" t="s">
        <v>402</v>
      </c>
      <c r="C37" s="36">
        <v>807</v>
      </c>
      <c r="D37" s="35" t="s">
        <v>27</v>
      </c>
      <c r="E37" s="35" t="s">
        <v>169</v>
      </c>
      <c r="F37" s="35" t="s">
        <v>401</v>
      </c>
      <c r="G37" s="35" t="s">
        <v>403</v>
      </c>
      <c r="H37" s="227">
        <v>0.5</v>
      </c>
      <c r="I37" s="227">
        <v>0.5</v>
      </c>
      <c r="J37" s="227">
        <v>0</v>
      </c>
      <c r="K37" s="162">
        <f t="shared" si="1"/>
        <v>0</v>
      </c>
      <c r="M37" s="20">
        <f t="shared" si="3"/>
        <v>500</v>
      </c>
      <c r="N37" s="20">
        <f t="shared" si="4"/>
        <v>500</v>
      </c>
      <c r="O37" s="20">
        <f t="shared" si="5"/>
        <v>0</v>
      </c>
    </row>
    <row r="38" spans="1:16" ht="12.75" x14ac:dyDescent="0.2">
      <c r="A38" s="32">
        <v>30</v>
      </c>
      <c r="B38" s="215" t="s">
        <v>446</v>
      </c>
      <c r="C38" s="36">
        <v>807</v>
      </c>
      <c r="D38" s="35" t="s">
        <v>27</v>
      </c>
      <c r="E38" s="35" t="s">
        <v>169</v>
      </c>
      <c r="F38" s="35" t="s">
        <v>172</v>
      </c>
      <c r="G38" s="35" t="s">
        <v>209</v>
      </c>
      <c r="H38" s="227">
        <v>0</v>
      </c>
      <c r="I38" s="227">
        <v>0.48699999999999999</v>
      </c>
      <c r="J38" s="227">
        <v>0</v>
      </c>
      <c r="K38" s="162">
        <f t="shared" si="1"/>
        <v>0</v>
      </c>
      <c r="M38" s="20">
        <f t="shared" si="3"/>
        <v>0</v>
      </c>
      <c r="N38" s="20">
        <f t="shared" si="4"/>
        <v>487</v>
      </c>
      <c r="O38" s="20">
        <f t="shared" si="5"/>
        <v>0</v>
      </c>
    </row>
    <row r="39" spans="1:16" ht="12.75" x14ac:dyDescent="0.2">
      <c r="A39" s="32">
        <v>31</v>
      </c>
      <c r="B39" s="215" t="s">
        <v>404</v>
      </c>
      <c r="C39" s="36">
        <v>807</v>
      </c>
      <c r="D39" s="35" t="s">
        <v>27</v>
      </c>
      <c r="E39" s="35" t="s">
        <v>169</v>
      </c>
      <c r="F39" s="35" t="s">
        <v>172</v>
      </c>
      <c r="G39" s="35" t="s">
        <v>378</v>
      </c>
      <c r="H39" s="227">
        <v>2.9420000000000002</v>
      </c>
      <c r="I39" s="227">
        <v>2.4550000000000001</v>
      </c>
      <c r="J39" s="227">
        <v>2.4550000000000001</v>
      </c>
      <c r="K39" s="162">
        <f t="shared" si="1"/>
        <v>100</v>
      </c>
      <c r="M39" s="20">
        <f t="shared" si="3"/>
        <v>2942</v>
      </c>
      <c r="N39" s="20">
        <f t="shared" si="4"/>
        <v>2455</v>
      </c>
      <c r="O39" s="20">
        <f t="shared" si="5"/>
        <v>2455</v>
      </c>
    </row>
    <row r="40" spans="1:16" ht="12.75" x14ac:dyDescent="0.2">
      <c r="A40" s="32">
        <v>32</v>
      </c>
      <c r="B40" s="215" t="s">
        <v>35</v>
      </c>
      <c r="C40" s="36">
        <v>807</v>
      </c>
      <c r="D40" s="35" t="s">
        <v>27</v>
      </c>
      <c r="E40" s="35" t="s">
        <v>169</v>
      </c>
      <c r="F40" s="35" t="s">
        <v>68</v>
      </c>
      <c r="G40" s="35" t="s">
        <v>49</v>
      </c>
      <c r="H40" s="227">
        <v>0</v>
      </c>
      <c r="I40" s="227">
        <v>0</v>
      </c>
      <c r="J40" s="227">
        <v>0</v>
      </c>
      <c r="K40" s="162">
        <v>0</v>
      </c>
      <c r="M40" s="20">
        <f t="shared" si="3"/>
        <v>0</v>
      </c>
      <c r="N40" s="20">
        <f t="shared" si="4"/>
        <v>0</v>
      </c>
      <c r="O40" s="20">
        <f t="shared" si="5"/>
        <v>0</v>
      </c>
    </row>
    <row r="41" spans="1:16" ht="12.75" x14ac:dyDescent="0.2">
      <c r="A41" s="32">
        <v>33</v>
      </c>
      <c r="B41" s="215" t="s">
        <v>52</v>
      </c>
      <c r="C41" s="36">
        <v>807</v>
      </c>
      <c r="D41" s="35" t="s">
        <v>27</v>
      </c>
      <c r="E41" s="35" t="s">
        <v>169</v>
      </c>
      <c r="F41" s="35" t="s">
        <v>68</v>
      </c>
      <c r="G41" s="35" t="s">
        <v>40</v>
      </c>
      <c r="H41" s="227">
        <v>100</v>
      </c>
      <c r="I41" s="227">
        <v>86.87</v>
      </c>
      <c r="J41" s="227">
        <v>45</v>
      </c>
      <c r="K41" s="162">
        <f t="shared" si="1"/>
        <v>51.80154253482214</v>
      </c>
      <c r="M41" s="20">
        <f t="shared" si="3"/>
        <v>100000</v>
      </c>
      <c r="N41" s="20">
        <f t="shared" si="4"/>
        <v>86870</v>
      </c>
      <c r="O41" s="20">
        <f t="shared" si="5"/>
        <v>45000</v>
      </c>
    </row>
    <row r="42" spans="1:16" ht="12.75" x14ac:dyDescent="0.2">
      <c r="A42" s="32">
        <v>34</v>
      </c>
      <c r="B42" s="215" t="s">
        <v>79</v>
      </c>
      <c r="C42" s="36">
        <v>807</v>
      </c>
      <c r="D42" s="35" t="s">
        <v>27</v>
      </c>
      <c r="E42" s="35" t="s">
        <v>170</v>
      </c>
      <c r="F42" s="35" t="s">
        <v>80</v>
      </c>
      <c r="G42" s="35" t="s">
        <v>81</v>
      </c>
      <c r="H42" s="227">
        <v>98.546000000000006</v>
      </c>
      <c r="I42" s="227">
        <v>98.546000000000006</v>
      </c>
      <c r="J42" s="227">
        <v>49.273000000000003</v>
      </c>
      <c r="K42" s="162">
        <f t="shared" si="1"/>
        <v>50</v>
      </c>
      <c r="M42" s="20">
        <f t="shared" si="3"/>
        <v>98546</v>
      </c>
      <c r="N42" s="20">
        <f t="shared" si="4"/>
        <v>98546</v>
      </c>
      <c r="O42" s="20">
        <f t="shared" si="5"/>
        <v>49273</v>
      </c>
    </row>
    <row r="43" spans="1:16" ht="12.75" x14ac:dyDescent="0.2">
      <c r="A43" s="32">
        <v>35</v>
      </c>
      <c r="B43" s="163" t="s">
        <v>217</v>
      </c>
      <c r="C43" s="152">
        <v>807</v>
      </c>
      <c r="D43" s="154" t="s">
        <v>218</v>
      </c>
      <c r="E43" s="152" t="s">
        <v>154</v>
      </c>
      <c r="F43" s="152" t="s">
        <v>154</v>
      </c>
      <c r="G43" s="35"/>
      <c r="H43" s="227">
        <f>H44</f>
        <v>10</v>
      </c>
      <c r="I43" s="227">
        <f t="shared" ref="I43:J44" si="8">I44</f>
        <v>10</v>
      </c>
      <c r="J43" s="227">
        <f t="shared" si="8"/>
        <v>0</v>
      </c>
      <c r="K43" s="162">
        <f t="shared" si="1"/>
        <v>0</v>
      </c>
      <c r="M43" s="20">
        <f t="shared" si="3"/>
        <v>10000</v>
      </c>
      <c r="N43" s="20">
        <f t="shared" si="4"/>
        <v>10000</v>
      </c>
      <c r="O43" s="20">
        <f t="shared" si="5"/>
        <v>0</v>
      </c>
    </row>
    <row r="44" spans="1:16" ht="12.75" x14ac:dyDescent="0.2">
      <c r="A44" s="32">
        <v>36</v>
      </c>
      <c r="B44" s="64" t="s">
        <v>142</v>
      </c>
      <c r="C44" s="152">
        <v>807</v>
      </c>
      <c r="D44" s="154" t="s">
        <v>218</v>
      </c>
      <c r="E44" s="152">
        <v>6400000000</v>
      </c>
      <c r="F44" s="152" t="s">
        <v>154</v>
      </c>
      <c r="G44" s="35"/>
      <c r="H44" s="227">
        <f>H45</f>
        <v>10</v>
      </c>
      <c r="I44" s="227">
        <f t="shared" si="8"/>
        <v>10</v>
      </c>
      <c r="J44" s="227">
        <f t="shared" si="8"/>
        <v>0</v>
      </c>
      <c r="K44" s="162">
        <f t="shared" si="1"/>
        <v>0</v>
      </c>
      <c r="M44" s="20">
        <f t="shared" si="3"/>
        <v>10000</v>
      </c>
      <c r="N44" s="20">
        <f t="shared" si="4"/>
        <v>10000</v>
      </c>
      <c r="O44" s="20">
        <f t="shared" si="5"/>
        <v>0</v>
      </c>
    </row>
    <row r="45" spans="1:16" ht="25.5" x14ac:dyDescent="0.2">
      <c r="A45" s="32">
        <v>37</v>
      </c>
      <c r="B45" s="151" t="s">
        <v>219</v>
      </c>
      <c r="C45" s="152">
        <v>807</v>
      </c>
      <c r="D45" s="154" t="s">
        <v>218</v>
      </c>
      <c r="E45" s="152">
        <v>6400080000</v>
      </c>
      <c r="F45" s="152" t="s">
        <v>154</v>
      </c>
      <c r="G45" s="35"/>
      <c r="H45" s="231">
        <f>H46</f>
        <v>10</v>
      </c>
      <c r="I45" s="232">
        <f>I46</f>
        <v>10</v>
      </c>
      <c r="J45" s="232">
        <f>J46</f>
        <v>0</v>
      </c>
      <c r="K45" s="162">
        <f t="shared" si="1"/>
        <v>0</v>
      </c>
      <c r="M45" s="20">
        <f t="shared" si="3"/>
        <v>10000</v>
      </c>
      <c r="N45" s="20">
        <f t="shared" si="4"/>
        <v>10000</v>
      </c>
      <c r="O45" s="20">
        <f t="shared" si="5"/>
        <v>0</v>
      </c>
    </row>
    <row r="46" spans="1:16" ht="25.5" x14ac:dyDescent="0.2">
      <c r="A46" s="32">
        <v>38</v>
      </c>
      <c r="B46" s="151" t="s">
        <v>220</v>
      </c>
      <c r="C46" s="152">
        <v>807</v>
      </c>
      <c r="D46" s="154" t="s">
        <v>218</v>
      </c>
      <c r="E46" s="152">
        <v>6400080210</v>
      </c>
      <c r="F46" s="152" t="s">
        <v>154</v>
      </c>
      <c r="G46" s="35"/>
      <c r="H46" s="227">
        <f>SUM(H47)</f>
        <v>10</v>
      </c>
      <c r="I46" s="230">
        <f>SUM(I47)</f>
        <v>10</v>
      </c>
      <c r="J46" s="230">
        <f>SUM(J47:J48)</f>
        <v>0</v>
      </c>
      <c r="K46" s="162">
        <f t="shared" si="1"/>
        <v>0</v>
      </c>
      <c r="M46" s="20">
        <f t="shared" si="3"/>
        <v>10000</v>
      </c>
      <c r="N46" s="20">
        <f t="shared" si="4"/>
        <v>10000</v>
      </c>
      <c r="O46" s="20">
        <f t="shared" si="5"/>
        <v>0</v>
      </c>
    </row>
    <row r="47" spans="1:16" ht="12.75" x14ac:dyDescent="0.2">
      <c r="A47" s="32">
        <v>39</v>
      </c>
      <c r="B47" s="151" t="s">
        <v>221</v>
      </c>
      <c r="C47" s="152">
        <v>807</v>
      </c>
      <c r="D47" s="154" t="s">
        <v>218</v>
      </c>
      <c r="E47" s="152">
        <v>6400080210</v>
      </c>
      <c r="F47" s="152">
        <v>800</v>
      </c>
      <c r="G47" s="35"/>
      <c r="H47" s="227">
        <f>H48</f>
        <v>10</v>
      </c>
      <c r="I47" s="227">
        <f t="shared" ref="I47:J47" si="9">I48</f>
        <v>10</v>
      </c>
      <c r="J47" s="230">
        <f t="shared" si="9"/>
        <v>0</v>
      </c>
      <c r="K47" s="162">
        <f t="shared" si="1"/>
        <v>0</v>
      </c>
      <c r="M47" s="20">
        <f t="shared" si="3"/>
        <v>10000</v>
      </c>
      <c r="N47" s="20">
        <f t="shared" si="4"/>
        <v>10000</v>
      </c>
      <c r="O47" s="20">
        <f t="shared" si="5"/>
        <v>0</v>
      </c>
    </row>
    <row r="48" spans="1:16" ht="12.75" x14ac:dyDescent="0.2">
      <c r="A48" s="32">
        <v>40</v>
      </c>
      <c r="B48" s="151" t="s">
        <v>222</v>
      </c>
      <c r="C48" s="152">
        <v>807</v>
      </c>
      <c r="D48" s="154" t="s">
        <v>218</v>
      </c>
      <c r="E48" s="152">
        <v>6400080210</v>
      </c>
      <c r="F48" s="152">
        <v>870</v>
      </c>
      <c r="G48" s="35" t="s">
        <v>209</v>
      </c>
      <c r="H48" s="227">
        <v>10</v>
      </c>
      <c r="I48" s="227">
        <v>10</v>
      </c>
      <c r="J48" s="230">
        <v>0</v>
      </c>
      <c r="K48" s="162">
        <f t="shared" si="1"/>
        <v>0</v>
      </c>
      <c r="M48" s="20">
        <f t="shared" si="3"/>
        <v>10000</v>
      </c>
      <c r="N48" s="20">
        <f t="shared" si="4"/>
        <v>10000</v>
      </c>
      <c r="O48" s="20">
        <f t="shared" si="5"/>
        <v>0</v>
      </c>
    </row>
    <row r="49" spans="1:16" ht="12.75" x14ac:dyDescent="0.2">
      <c r="A49" s="32">
        <v>41</v>
      </c>
      <c r="B49" s="43" t="s">
        <v>143</v>
      </c>
      <c r="C49" s="39">
        <v>807</v>
      </c>
      <c r="D49" s="38" t="s">
        <v>57</v>
      </c>
      <c r="E49" s="38"/>
      <c r="F49" s="38"/>
      <c r="G49" s="135"/>
      <c r="H49" s="231">
        <f t="shared" ref="H49:J50" si="10">H50</f>
        <v>1854.38347</v>
      </c>
      <c r="I49" s="231">
        <f>I50</f>
        <v>1921.6874299999999</v>
      </c>
      <c r="J49" s="231">
        <f t="shared" si="10"/>
        <v>428.34138999999993</v>
      </c>
      <c r="K49" s="162">
        <f t="shared" si="1"/>
        <v>22.289857513404247</v>
      </c>
      <c r="M49" s="20">
        <f t="shared" si="3"/>
        <v>1854383.47</v>
      </c>
      <c r="N49" s="20">
        <f t="shared" si="4"/>
        <v>1921687.43</v>
      </c>
      <c r="O49" s="20">
        <f t="shared" si="5"/>
        <v>428341.38999999996</v>
      </c>
      <c r="P49" s="20">
        <f>N49+N63</f>
        <v>1936421.43</v>
      </c>
    </row>
    <row r="50" spans="1:16" ht="12.75" x14ac:dyDescent="0.2">
      <c r="A50" s="32">
        <v>42</v>
      </c>
      <c r="B50" s="151" t="s">
        <v>142</v>
      </c>
      <c r="C50" s="33">
        <v>807</v>
      </c>
      <c r="D50" s="37" t="s">
        <v>57</v>
      </c>
      <c r="E50" s="37" t="s">
        <v>213</v>
      </c>
      <c r="F50" s="38"/>
      <c r="G50" s="135"/>
      <c r="H50" s="231">
        <f t="shared" si="10"/>
        <v>1854.38347</v>
      </c>
      <c r="I50" s="231">
        <f>I51</f>
        <v>1921.6874299999999</v>
      </c>
      <c r="J50" s="231">
        <f t="shared" si="10"/>
        <v>428.34138999999993</v>
      </c>
      <c r="K50" s="162">
        <f t="shared" si="1"/>
        <v>22.289857513404247</v>
      </c>
      <c r="M50" s="20">
        <f t="shared" si="3"/>
        <v>1854383.47</v>
      </c>
      <c r="N50" s="20">
        <f t="shared" si="4"/>
        <v>1921687.43</v>
      </c>
      <c r="O50" s="20">
        <f t="shared" si="5"/>
        <v>428341.38999999996</v>
      </c>
    </row>
    <row r="51" spans="1:16" ht="14.25" customHeight="1" x14ac:dyDescent="0.2">
      <c r="A51" s="32">
        <v>43</v>
      </c>
      <c r="B51" s="151" t="s">
        <v>223</v>
      </c>
      <c r="C51" s="36">
        <v>807</v>
      </c>
      <c r="D51" s="35" t="s">
        <v>57</v>
      </c>
      <c r="E51" s="35" t="s">
        <v>213</v>
      </c>
      <c r="F51" s="35" t="s">
        <v>106</v>
      </c>
      <c r="G51" s="35"/>
      <c r="H51" s="227">
        <f>SUM(H52:H62)</f>
        <v>1854.38347</v>
      </c>
      <c r="I51" s="227">
        <f>SUM(I52:I62)</f>
        <v>1921.6874299999999</v>
      </c>
      <c r="J51" s="227">
        <f>SUM(J52:J62)</f>
        <v>428.34138999999993</v>
      </c>
      <c r="K51" s="162">
        <f t="shared" si="1"/>
        <v>22.289857513404247</v>
      </c>
      <c r="M51" s="20">
        <f t="shared" si="3"/>
        <v>1854383.47</v>
      </c>
      <c r="N51" s="20">
        <f t="shared" si="4"/>
        <v>1921687.43</v>
      </c>
      <c r="O51" s="20">
        <f t="shared" si="5"/>
        <v>428341.38999999996</v>
      </c>
    </row>
    <row r="52" spans="1:16" ht="12.75" x14ac:dyDescent="0.2">
      <c r="A52" s="32">
        <v>44</v>
      </c>
      <c r="B52" s="215" t="s">
        <v>32</v>
      </c>
      <c r="C52" s="36">
        <v>807</v>
      </c>
      <c r="D52" s="35" t="s">
        <v>57</v>
      </c>
      <c r="E52" s="35" t="s">
        <v>224</v>
      </c>
      <c r="F52" s="35" t="s">
        <v>67</v>
      </c>
      <c r="G52" s="35" t="s">
        <v>37</v>
      </c>
      <c r="H52" s="227">
        <v>1245.34752</v>
      </c>
      <c r="I52" s="227">
        <v>1240.7912699999999</v>
      </c>
      <c r="J52" s="227">
        <f>280.54688-J54</f>
        <v>275.99063000000001</v>
      </c>
      <c r="K52" s="162">
        <f t="shared" si="1"/>
        <v>22.243115072851861</v>
      </c>
      <c r="M52" s="20">
        <f t="shared" si="3"/>
        <v>1245347.52</v>
      </c>
      <c r="N52" s="20">
        <f t="shared" si="4"/>
        <v>1240791.27</v>
      </c>
      <c r="O52" s="20">
        <f t="shared" si="5"/>
        <v>275990.63</v>
      </c>
      <c r="P52" s="20">
        <f>O52+O54</f>
        <v>280546.88</v>
      </c>
    </row>
    <row r="53" spans="1:16" ht="12.75" x14ac:dyDescent="0.2">
      <c r="A53" s="32">
        <v>45</v>
      </c>
      <c r="B53" s="215" t="s">
        <v>39</v>
      </c>
      <c r="C53" s="36">
        <v>807</v>
      </c>
      <c r="D53" s="35" t="s">
        <v>57</v>
      </c>
      <c r="E53" s="35" t="s">
        <v>224</v>
      </c>
      <c r="F53" s="35" t="s">
        <v>171</v>
      </c>
      <c r="G53" s="35" t="s">
        <v>38</v>
      </c>
      <c r="H53" s="227">
        <v>376.09494999999998</v>
      </c>
      <c r="I53" s="227">
        <v>376.09494999999998</v>
      </c>
      <c r="J53" s="227">
        <v>50.798650000000002</v>
      </c>
      <c r="K53" s="162">
        <f t="shared" si="1"/>
        <v>13.506868411819942</v>
      </c>
      <c r="M53" s="20">
        <f t="shared" si="3"/>
        <v>376094.95</v>
      </c>
      <c r="N53" s="20">
        <f t="shared" si="4"/>
        <v>376094.95</v>
      </c>
      <c r="O53" s="20">
        <f t="shared" si="5"/>
        <v>50798.65</v>
      </c>
    </row>
    <row r="54" spans="1:16" ht="12.75" x14ac:dyDescent="0.2">
      <c r="A54" s="32">
        <v>46</v>
      </c>
      <c r="B54" s="215" t="s">
        <v>269</v>
      </c>
      <c r="C54" s="36">
        <v>807</v>
      </c>
      <c r="D54" s="35" t="s">
        <v>57</v>
      </c>
      <c r="E54" s="35" t="s">
        <v>224</v>
      </c>
      <c r="F54" s="35" t="s">
        <v>67</v>
      </c>
      <c r="G54" s="35" t="s">
        <v>270</v>
      </c>
      <c r="H54" s="227">
        <v>0</v>
      </c>
      <c r="I54" s="227">
        <v>4.5562500000000004</v>
      </c>
      <c r="J54" s="227">
        <v>4.5562500000000004</v>
      </c>
      <c r="K54" s="162">
        <f t="shared" si="1"/>
        <v>100</v>
      </c>
      <c r="M54" s="20">
        <f t="shared" si="3"/>
        <v>0</v>
      </c>
      <c r="N54" s="20">
        <f t="shared" si="4"/>
        <v>4556.25</v>
      </c>
      <c r="O54" s="20">
        <f t="shared" si="5"/>
        <v>4556.25</v>
      </c>
    </row>
    <row r="55" spans="1:16" ht="12.75" x14ac:dyDescent="0.2">
      <c r="A55" s="32">
        <v>47</v>
      </c>
      <c r="B55" s="215" t="s">
        <v>33</v>
      </c>
      <c r="C55" s="36">
        <v>807</v>
      </c>
      <c r="D55" s="35" t="s">
        <v>57</v>
      </c>
      <c r="E55" s="35" t="s">
        <v>224</v>
      </c>
      <c r="F55" s="35" t="s">
        <v>68</v>
      </c>
      <c r="G55" s="35" t="s">
        <v>41</v>
      </c>
      <c r="H55" s="227">
        <v>58.527000000000001</v>
      </c>
      <c r="I55" s="227">
        <v>62.830959999999997</v>
      </c>
      <c r="J55" s="227">
        <v>13.68186</v>
      </c>
      <c r="K55" s="162">
        <f t="shared" si="1"/>
        <v>21.775666009241306</v>
      </c>
      <c r="M55" s="20">
        <f t="shared" si="3"/>
        <v>58527</v>
      </c>
      <c r="N55" s="20">
        <f t="shared" si="4"/>
        <v>62830.96</v>
      </c>
      <c r="O55" s="20">
        <f t="shared" si="5"/>
        <v>13681.86</v>
      </c>
    </row>
    <row r="56" spans="1:16" ht="12.75" x14ac:dyDescent="0.2">
      <c r="A56" s="32">
        <v>48</v>
      </c>
      <c r="B56" s="215" t="s">
        <v>43</v>
      </c>
      <c r="C56" s="36">
        <v>807</v>
      </c>
      <c r="D56" s="35" t="s">
        <v>57</v>
      </c>
      <c r="E56" s="35" t="s">
        <v>224</v>
      </c>
      <c r="F56" s="35" t="s">
        <v>68</v>
      </c>
      <c r="G56" s="35" t="s">
        <v>44</v>
      </c>
      <c r="H56" s="227">
        <v>6</v>
      </c>
      <c r="I56" s="227">
        <v>6</v>
      </c>
      <c r="J56" s="227">
        <v>0</v>
      </c>
      <c r="K56" s="162">
        <f t="shared" si="1"/>
        <v>0</v>
      </c>
      <c r="M56" s="20">
        <f t="shared" si="3"/>
        <v>6000</v>
      </c>
      <c r="N56" s="20">
        <f t="shared" si="4"/>
        <v>6000</v>
      </c>
      <c r="O56" s="20">
        <f t="shared" si="5"/>
        <v>0</v>
      </c>
    </row>
    <row r="57" spans="1:16" ht="12.75" x14ac:dyDescent="0.2">
      <c r="A57" s="32">
        <v>49</v>
      </c>
      <c r="B57" s="215" t="s">
        <v>45</v>
      </c>
      <c r="C57" s="36">
        <v>807</v>
      </c>
      <c r="D57" s="35" t="s">
        <v>57</v>
      </c>
      <c r="E57" s="35" t="s">
        <v>224</v>
      </c>
      <c r="F57" s="35" t="s">
        <v>68</v>
      </c>
      <c r="G57" s="35" t="s">
        <v>46</v>
      </c>
      <c r="H57" s="227">
        <v>168.41399999999999</v>
      </c>
      <c r="I57" s="227">
        <v>231.41399999999999</v>
      </c>
      <c r="J57" s="227">
        <v>83.313999999999993</v>
      </c>
      <c r="K57" s="162">
        <f t="shared" si="1"/>
        <v>36.002143344827878</v>
      </c>
      <c r="M57" s="20">
        <f t="shared" si="3"/>
        <v>168414</v>
      </c>
      <c r="N57" s="20">
        <f t="shared" si="4"/>
        <v>231414</v>
      </c>
      <c r="O57" s="20">
        <f t="shared" si="5"/>
        <v>83314</v>
      </c>
    </row>
    <row r="58" spans="1:16" ht="12.75" x14ac:dyDescent="0.2">
      <c r="A58" s="32">
        <v>50</v>
      </c>
      <c r="B58" s="215" t="s">
        <v>210</v>
      </c>
      <c r="C58" s="36">
        <v>807</v>
      </c>
      <c r="D58" s="35" t="s">
        <v>57</v>
      </c>
      <c r="E58" s="35" t="s">
        <v>224</v>
      </c>
      <c r="F58" s="35" t="s">
        <v>196</v>
      </c>
      <c r="G58" s="35" t="s">
        <v>209</v>
      </c>
      <c r="H58" s="227">
        <v>0</v>
      </c>
      <c r="I58" s="227">
        <v>0</v>
      </c>
      <c r="J58" s="227">
        <v>0</v>
      </c>
      <c r="K58" s="162">
        <v>0</v>
      </c>
      <c r="M58" s="20">
        <f t="shared" si="3"/>
        <v>0</v>
      </c>
      <c r="N58" s="20">
        <f t="shared" si="4"/>
        <v>0</v>
      </c>
      <c r="O58" s="20">
        <f t="shared" si="5"/>
        <v>0</v>
      </c>
    </row>
    <row r="59" spans="1:16" ht="12.75" x14ac:dyDescent="0.2">
      <c r="A59" s="32">
        <v>51</v>
      </c>
      <c r="B59" s="215" t="s">
        <v>35</v>
      </c>
      <c r="C59" s="36">
        <v>807</v>
      </c>
      <c r="D59" s="35" t="s">
        <v>57</v>
      </c>
      <c r="E59" s="35" t="s">
        <v>224</v>
      </c>
      <c r="F59" s="35" t="s">
        <v>68</v>
      </c>
      <c r="G59" s="35" t="s">
        <v>49</v>
      </c>
      <c r="H59" s="227">
        <v>0</v>
      </c>
      <c r="I59" s="227">
        <v>0</v>
      </c>
      <c r="J59" s="227">
        <v>0</v>
      </c>
      <c r="K59" s="162">
        <v>0</v>
      </c>
      <c r="M59" s="20">
        <f t="shared" si="3"/>
        <v>0</v>
      </c>
      <c r="N59" s="20">
        <f t="shared" si="4"/>
        <v>0</v>
      </c>
      <c r="O59" s="20">
        <f t="shared" si="5"/>
        <v>0</v>
      </c>
    </row>
    <row r="60" spans="1:16" ht="12.75" x14ac:dyDescent="0.2">
      <c r="A60" s="32">
        <v>52</v>
      </c>
      <c r="B60" s="215" t="s">
        <v>52</v>
      </c>
      <c r="C60" s="36">
        <v>807</v>
      </c>
      <c r="D60" s="35" t="s">
        <v>57</v>
      </c>
      <c r="E60" s="35" t="s">
        <v>224</v>
      </c>
      <c r="F60" s="35" t="s">
        <v>68</v>
      </c>
      <c r="G60" s="35" t="s">
        <v>40</v>
      </c>
      <c r="H60" s="227">
        <v>0</v>
      </c>
      <c r="I60" s="227">
        <v>0</v>
      </c>
      <c r="J60" s="227">
        <v>0</v>
      </c>
      <c r="K60" s="162">
        <v>0</v>
      </c>
      <c r="M60" s="20">
        <f t="shared" si="3"/>
        <v>0</v>
      </c>
      <c r="N60" s="20">
        <f t="shared" si="4"/>
        <v>0</v>
      </c>
      <c r="O60" s="20">
        <f t="shared" si="5"/>
        <v>0</v>
      </c>
    </row>
    <row r="61" spans="1:16" ht="12.75" x14ac:dyDescent="0.2">
      <c r="A61" s="32">
        <v>53</v>
      </c>
      <c r="B61" s="215" t="s">
        <v>272</v>
      </c>
      <c r="C61" s="36">
        <v>807</v>
      </c>
      <c r="D61" s="35" t="s">
        <v>57</v>
      </c>
      <c r="E61" s="35" t="s">
        <v>259</v>
      </c>
      <c r="F61" s="35" t="s">
        <v>172</v>
      </c>
      <c r="G61" s="35" t="s">
        <v>271</v>
      </c>
      <c r="H61" s="227">
        <v>0</v>
      </c>
      <c r="I61" s="227">
        <v>0</v>
      </c>
      <c r="J61" s="227">
        <v>0</v>
      </c>
      <c r="K61" s="162">
        <v>0</v>
      </c>
      <c r="M61" s="20">
        <f t="shared" si="3"/>
        <v>0</v>
      </c>
      <c r="N61" s="20">
        <f t="shared" si="4"/>
        <v>0</v>
      </c>
      <c r="O61" s="20">
        <f t="shared" si="5"/>
        <v>0</v>
      </c>
    </row>
    <row r="62" spans="1:16" ht="12.75" x14ac:dyDescent="0.2">
      <c r="A62" s="32">
        <v>54</v>
      </c>
      <c r="B62" s="215" t="s">
        <v>391</v>
      </c>
      <c r="C62" s="36">
        <v>807</v>
      </c>
      <c r="D62" s="35" t="s">
        <v>57</v>
      </c>
      <c r="E62" s="35" t="s">
        <v>392</v>
      </c>
      <c r="F62" s="35" t="s">
        <v>172</v>
      </c>
      <c r="G62" s="35" t="s">
        <v>271</v>
      </c>
      <c r="H62" s="227">
        <v>0</v>
      </c>
      <c r="I62" s="227">
        <v>0</v>
      </c>
      <c r="J62" s="227">
        <v>0</v>
      </c>
      <c r="K62" s="162">
        <v>0</v>
      </c>
      <c r="M62" s="20">
        <f t="shared" si="3"/>
        <v>0</v>
      </c>
      <c r="N62" s="20">
        <f t="shared" si="4"/>
        <v>0</v>
      </c>
      <c r="O62" s="20">
        <f t="shared" si="5"/>
        <v>0</v>
      </c>
    </row>
    <row r="63" spans="1:16" ht="12.75" x14ac:dyDescent="0.2">
      <c r="A63" s="32">
        <v>55</v>
      </c>
      <c r="B63" s="44" t="s">
        <v>66</v>
      </c>
      <c r="C63" s="36">
        <v>807</v>
      </c>
      <c r="D63" s="35" t="s">
        <v>57</v>
      </c>
      <c r="E63" s="35" t="s">
        <v>174</v>
      </c>
      <c r="F63" s="135"/>
      <c r="G63" s="135"/>
      <c r="H63" s="233">
        <f>H64</f>
        <v>14.734</v>
      </c>
      <c r="I63" s="233">
        <f t="shared" ref="I63" si="11">I64</f>
        <v>14.734</v>
      </c>
      <c r="J63" s="234">
        <f>J64</f>
        <v>0</v>
      </c>
      <c r="K63" s="162">
        <f t="shared" si="1"/>
        <v>0</v>
      </c>
      <c r="M63" s="20">
        <f t="shared" si="3"/>
        <v>14734</v>
      </c>
      <c r="N63" s="20">
        <f t="shared" si="4"/>
        <v>14734</v>
      </c>
      <c r="O63" s="20">
        <f t="shared" si="5"/>
        <v>0</v>
      </c>
    </row>
    <row r="64" spans="1:16" ht="12.75" customHeight="1" x14ac:dyDescent="0.2">
      <c r="A64" s="32">
        <v>56</v>
      </c>
      <c r="B64" s="215" t="s">
        <v>76</v>
      </c>
      <c r="C64" s="36">
        <v>807</v>
      </c>
      <c r="D64" s="35" t="s">
        <v>57</v>
      </c>
      <c r="E64" s="35" t="s">
        <v>174</v>
      </c>
      <c r="F64" s="35" t="s">
        <v>73</v>
      </c>
      <c r="G64" s="35"/>
      <c r="H64" s="227">
        <f>SUM(H65)</f>
        <v>14.734</v>
      </c>
      <c r="I64" s="227">
        <f t="shared" ref="I64" si="12">SUM(I65)</f>
        <v>14.734</v>
      </c>
      <c r="J64" s="230">
        <f>SUM(J65)</f>
        <v>0</v>
      </c>
      <c r="K64" s="162">
        <f t="shared" si="1"/>
        <v>0</v>
      </c>
      <c r="M64" s="20">
        <f t="shared" si="3"/>
        <v>14734</v>
      </c>
      <c r="N64" s="20">
        <f t="shared" si="4"/>
        <v>14734</v>
      </c>
      <c r="O64" s="20">
        <f t="shared" si="5"/>
        <v>0</v>
      </c>
    </row>
    <row r="65" spans="1:15" ht="12.75" x14ac:dyDescent="0.2">
      <c r="A65" s="32">
        <v>57</v>
      </c>
      <c r="B65" s="215" t="s">
        <v>52</v>
      </c>
      <c r="C65" s="36">
        <v>807</v>
      </c>
      <c r="D65" s="35" t="s">
        <v>57</v>
      </c>
      <c r="E65" s="35" t="s">
        <v>174</v>
      </c>
      <c r="F65" s="35" t="s">
        <v>68</v>
      </c>
      <c r="G65" s="35" t="s">
        <v>40</v>
      </c>
      <c r="H65" s="227">
        <v>14.734</v>
      </c>
      <c r="I65" s="227">
        <v>14.734</v>
      </c>
      <c r="J65" s="227">
        <v>0</v>
      </c>
      <c r="K65" s="162">
        <f t="shared" si="1"/>
        <v>0</v>
      </c>
      <c r="M65" s="20">
        <f t="shared" si="3"/>
        <v>14734</v>
      </c>
      <c r="N65" s="20">
        <f t="shared" si="4"/>
        <v>14734</v>
      </c>
      <c r="O65" s="20">
        <f t="shared" si="5"/>
        <v>0</v>
      </c>
    </row>
    <row r="66" spans="1:15" ht="12.75" x14ac:dyDescent="0.2">
      <c r="A66" s="32">
        <v>58</v>
      </c>
      <c r="B66" s="164" t="s">
        <v>145</v>
      </c>
      <c r="C66" s="165">
        <v>807</v>
      </c>
      <c r="D66" s="165" t="s">
        <v>146</v>
      </c>
      <c r="E66" s="35"/>
      <c r="F66" s="35"/>
      <c r="G66" s="35"/>
      <c r="H66" s="227">
        <f>H67</f>
        <v>443.13299999999998</v>
      </c>
      <c r="I66" s="227">
        <f t="shared" ref="I66:J66" si="13">I67</f>
        <v>522.63699999999994</v>
      </c>
      <c r="J66" s="227">
        <f t="shared" si="13"/>
        <v>82.781559999999999</v>
      </c>
      <c r="K66" s="162">
        <f t="shared" si="1"/>
        <v>15.839207710131509</v>
      </c>
      <c r="M66" s="20">
        <f t="shared" ref="M66:M126" si="14">H66*1000</f>
        <v>443133</v>
      </c>
      <c r="N66" s="20">
        <f t="shared" ref="N66:N126" si="15">I66*1000</f>
        <v>522636.99999999994</v>
      </c>
      <c r="O66" s="20">
        <f t="shared" ref="O66:O126" si="16">J66*1000</f>
        <v>82781.56</v>
      </c>
    </row>
    <row r="67" spans="1:15" ht="12.75" x14ac:dyDescent="0.2">
      <c r="A67" s="32">
        <v>59</v>
      </c>
      <c r="B67" s="45" t="s">
        <v>147</v>
      </c>
      <c r="C67" s="46" t="s">
        <v>129</v>
      </c>
      <c r="D67" s="47" t="s">
        <v>29</v>
      </c>
      <c r="E67" s="35"/>
      <c r="F67" s="35"/>
      <c r="G67" s="35"/>
      <c r="H67" s="227">
        <f>H68</f>
        <v>443.13299999999998</v>
      </c>
      <c r="I67" s="227">
        <f>I68</f>
        <v>522.63699999999994</v>
      </c>
      <c r="J67" s="230">
        <f t="shared" ref="J67:J68" si="17">J68</f>
        <v>82.781559999999999</v>
      </c>
      <c r="K67" s="162">
        <f t="shared" si="1"/>
        <v>15.839207710131509</v>
      </c>
      <c r="M67" s="20">
        <f t="shared" si="14"/>
        <v>443133</v>
      </c>
      <c r="N67" s="20">
        <f t="shared" si="15"/>
        <v>522636.99999999994</v>
      </c>
      <c r="O67" s="20">
        <f t="shared" si="16"/>
        <v>82781.56</v>
      </c>
    </row>
    <row r="68" spans="1:15" ht="25.5" x14ac:dyDescent="0.2">
      <c r="A68" s="32">
        <v>60</v>
      </c>
      <c r="B68" s="166" t="s">
        <v>21</v>
      </c>
      <c r="C68" s="36">
        <v>807</v>
      </c>
      <c r="D68" s="35" t="s">
        <v>29</v>
      </c>
      <c r="E68" s="35" t="s">
        <v>175</v>
      </c>
      <c r="F68" s="35"/>
      <c r="G68" s="35"/>
      <c r="H68" s="227">
        <f>H69</f>
        <v>443.13299999999998</v>
      </c>
      <c r="I68" s="227">
        <f>I69</f>
        <v>522.63699999999994</v>
      </c>
      <c r="J68" s="230">
        <f t="shared" si="17"/>
        <v>82.781559999999999</v>
      </c>
      <c r="K68" s="162">
        <f t="shared" si="1"/>
        <v>15.839207710131509</v>
      </c>
      <c r="M68" s="20">
        <f t="shared" si="14"/>
        <v>443133</v>
      </c>
      <c r="N68" s="20">
        <f t="shared" si="15"/>
        <v>522636.99999999994</v>
      </c>
      <c r="O68" s="20">
        <f t="shared" si="16"/>
        <v>82781.56</v>
      </c>
    </row>
    <row r="69" spans="1:15" ht="12.75" x14ac:dyDescent="0.2">
      <c r="A69" s="32">
        <v>61</v>
      </c>
      <c r="B69" s="215" t="s">
        <v>144</v>
      </c>
      <c r="C69" s="36">
        <v>807</v>
      </c>
      <c r="D69" s="35" t="s">
        <v>29</v>
      </c>
      <c r="E69" s="35" t="s">
        <v>175</v>
      </c>
      <c r="F69" s="35" t="s">
        <v>74</v>
      </c>
      <c r="G69" s="35"/>
      <c r="H69" s="227">
        <f>SUM(H70:H76)</f>
        <v>443.13299999999998</v>
      </c>
      <c r="I69" s="227">
        <f>SUM(I70:I76)</f>
        <v>522.63699999999994</v>
      </c>
      <c r="J69" s="227">
        <f t="shared" ref="J69" si="18">SUM(J70:J76)</f>
        <v>82.781559999999999</v>
      </c>
      <c r="K69" s="162">
        <f t="shared" si="1"/>
        <v>15.839207710131509</v>
      </c>
      <c r="M69" s="20">
        <f t="shared" si="14"/>
        <v>443133</v>
      </c>
      <c r="N69" s="20">
        <f t="shared" si="15"/>
        <v>522636.99999999994</v>
      </c>
      <c r="O69" s="20">
        <f t="shared" si="16"/>
        <v>82781.56</v>
      </c>
    </row>
    <row r="70" spans="1:15" ht="15.75" customHeight="1" x14ac:dyDescent="0.2">
      <c r="A70" s="32">
        <v>62</v>
      </c>
      <c r="B70" s="215" t="s">
        <v>32</v>
      </c>
      <c r="C70" s="36">
        <v>807</v>
      </c>
      <c r="D70" s="35" t="s">
        <v>29</v>
      </c>
      <c r="E70" s="35" t="s">
        <v>175</v>
      </c>
      <c r="F70" s="35" t="s">
        <v>67</v>
      </c>
      <c r="G70" s="35" t="s">
        <v>37</v>
      </c>
      <c r="H70" s="227">
        <v>332.66744</v>
      </c>
      <c r="I70" s="227">
        <v>362.66744</v>
      </c>
      <c r="J70" s="227">
        <v>65.7072</v>
      </c>
      <c r="K70" s="162">
        <f t="shared" si="1"/>
        <v>18.117755484197865</v>
      </c>
      <c r="M70" s="20">
        <f t="shared" si="14"/>
        <v>332667.44</v>
      </c>
      <c r="N70" s="20">
        <f t="shared" si="15"/>
        <v>362667.44</v>
      </c>
      <c r="O70" s="20">
        <f t="shared" si="16"/>
        <v>65707.199999999997</v>
      </c>
    </row>
    <row r="71" spans="1:15" ht="12.75" x14ac:dyDescent="0.2">
      <c r="A71" s="32">
        <v>63</v>
      </c>
      <c r="B71" s="215" t="s">
        <v>39</v>
      </c>
      <c r="C71" s="36">
        <v>807</v>
      </c>
      <c r="D71" s="35" t="s">
        <v>29</v>
      </c>
      <c r="E71" s="35" t="s">
        <v>175</v>
      </c>
      <c r="F71" s="35" t="s">
        <v>171</v>
      </c>
      <c r="G71" s="35" t="s">
        <v>38</v>
      </c>
      <c r="H71" s="227">
        <v>100.46556</v>
      </c>
      <c r="I71" s="227">
        <v>100.46556</v>
      </c>
      <c r="J71" s="227">
        <v>16.168839999999999</v>
      </c>
      <c r="K71" s="162">
        <f t="shared" si="1"/>
        <v>16.093913177809391</v>
      </c>
      <c r="M71" s="20">
        <f t="shared" si="14"/>
        <v>100465.56</v>
      </c>
      <c r="N71" s="20">
        <f t="shared" si="15"/>
        <v>100465.56</v>
      </c>
      <c r="O71" s="20">
        <f t="shared" si="16"/>
        <v>16168.84</v>
      </c>
    </row>
    <row r="72" spans="1:15" ht="12.75" x14ac:dyDescent="0.2">
      <c r="A72" s="32">
        <v>64</v>
      </c>
      <c r="B72" s="215" t="s">
        <v>33</v>
      </c>
      <c r="C72" s="36">
        <v>807</v>
      </c>
      <c r="D72" s="35" t="s">
        <v>29</v>
      </c>
      <c r="E72" s="35" t="s">
        <v>175</v>
      </c>
      <c r="F72" s="35" t="s">
        <v>68</v>
      </c>
      <c r="G72" s="35" t="s">
        <v>41</v>
      </c>
      <c r="H72" s="227">
        <v>8.2289999999999992</v>
      </c>
      <c r="I72" s="227">
        <v>8.2289999999999992</v>
      </c>
      <c r="J72" s="227">
        <v>0.90551999999999999</v>
      </c>
      <c r="K72" s="162">
        <f t="shared" si="1"/>
        <v>11.004010207801677</v>
      </c>
      <c r="M72" s="20">
        <f t="shared" si="14"/>
        <v>8229</v>
      </c>
      <c r="N72" s="20">
        <f t="shared" si="15"/>
        <v>8229</v>
      </c>
      <c r="O72" s="20">
        <f t="shared" si="16"/>
        <v>905.52</v>
      </c>
    </row>
    <row r="73" spans="1:15" ht="12.75" x14ac:dyDescent="0.2">
      <c r="A73" s="32">
        <v>65</v>
      </c>
      <c r="B73" s="215" t="s">
        <v>43</v>
      </c>
      <c r="C73" s="36">
        <v>807</v>
      </c>
      <c r="D73" s="35" t="s">
        <v>29</v>
      </c>
      <c r="E73" s="35" t="s">
        <v>175</v>
      </c>
      <c r="F73" s="35" t="s">
        <v>68</v>
      </c>
      <c r="G73" s="35" t="s">
        <v>44</v>
      </c>
      <c r="H73" s="227">
        <v>1.7709999999999999</v>
      </c>
      <c r="I73" s="227">
        <v>1.7709999999999999</v>
      </c>
      <c r="J73" s="227">
        <v>0</v>
      </c>
      <c r="K73" s="162">
        <f t="shared" si="1"/>
        <v>0</v>
      </c>
      <c r="M73" s="20">
        <f t="shared" si="14"/>
        <v>1771</v>
      </c>
      <c r="N73" s="20">
        <f t="shared" si="15"/>
        <v>1771</v>
      </c>
      <c r="O73" s="20">
        <f t="shared" si="16"/>
        <v>0</v>
      </c>
    </row>
    <row r="74" spans="1:15" ht="12.75" x14ac:dyDescent="0.2">
      <c r="A74" s="32">
        <v>66</v>
      </c>
      <c r="B74" s="215" t="s">
        <v>45</v>
      </c>
      <c r="C74" s="36">
        <v>807</v>
      </c>
      <c r="D74" s="35" t="s">
        <v>29</v>
      </c>
      <c r="E74" s="35" t="s">
        <v>175</v>
      </c>
      <c r="F74" s="35" t="s">
        <v>68</v>
      </c>
      <c r="G74" s="35" t="s">
        <v>46</v>
      </c>
      <c r="H74" s="227">
        <v>0</v>
      </c>
      <c r="I74" s="227">
        <v>0</v>
      </c>
      <c r="J74" s="227">
        <v>0</v>
      </c>
      <c r="K74" s="162">
        <v>0</v>
      </c>
      <c r="M74" s="20">
        <f t="shared" si="14"/>
        <v>0</v>
      </c>
      <c r="N74" s="20">
        <f t="shared" si="15"/>
        <v>0</v>
      </c>
      <c r="O74" s="20">
        <f t="shared" si="16"/>
        <v>0</v>
      </c>
    </row>
    <row r="75" spans="1:15" ht="12.75" x14ac:dyDescent="0.2">
      <c r="A75" s="32">
        <v>67</v>
      </c>
      <c r="B75" s="215" t="s">
        <v>35</v>
      </c>
      <c r="C75" s="36">
        <v>807</v>
      </c>
      <c r="D75" s="35" t="s">
        <v>29</v>
      </c>
      <c r="E75" s="35" t="s">
        <v>175</v>
      </c>
      <c r="F75" s="35" t="s">
        <v>68</v>
      </c>
      <c r="G75" s="35" t="s">
        <v>49</v>
      </c>
      <c r="H75" s="227">
        <v>0</v>
      </c>
      <c r="I75" s="227">
        <f>59.504-I73-I72</f>
        <v>49.503999999999998</v>
      </c>
      <c r="J75" s="227">
        <v>0</v>
      </c>
      <c r="K75" s="162">
        <v>0</v>
      </c>
      <c r="M75" s="20">
        <f t="shared" si="14"/>
        <v>0</v>
      </c>
      <c r="N75" s="20">
        <f t="shared" si="15"/>
        <v>49504</v>
      </c>
      <c r="O75" s="20">
        <f t="shared" si="16"/>
        <v>0</v>
      </c>
    </row>
    <row r="76" spans="1:15" ht="12.75" x14ac:dyDescent="0.2">
      <c r="A76" s="32">
        <v>68</v>
      </c>
      <c r="B76" s="215" t="s">
        <v>52</v>
      </c>
      <c r="C76" s="36">
        <v>807</v>
      </c>
      <c r="D76" s="35" t="s">
        <v>29</v>
      </c>
      <c r="E76" s="35" t="s">
        <v>175</v>
      </c>
      <c r="F76" s="35" t="s">
        <v>68</v>
      </c>
      <c r="G76" s="35" t="s">
        <v>40</v>
      </c>
      <c r="H76" s="227">
        <v>0</v>
      </c>
      <c r="I76" s="227">
        <v>0</v>
      </c>
      <c r="J76" s="227">
        <v>0</v>
      </c>
      <c r="K76" s="162">
        <v>0</v>
      </c>
      <c r="M76" s="20">
        <f t="shared" si="14"/>
        <v>0</v>
      </c>
      <c r="N76" s="20">
        <f t="shared" si="15"/>
        <v>0</v>
      </c>
      <c r="O76" s="20">
        <f t="shared" si="16"/>
        <v>0</v>
      </c>
    </row>
    <row r="77" spans="1:15" ht="25.5" x14ac:dyDescent="0.2">
      <c r="A77" s="32">
        <v>69</v>
      </c>
      <c r="B77" s="42" t="s">
        <v>185</v>
      </c>
      <c r="C77" s="46" t="s">
        <v>129</v>
      </c>
      <c r="D77" s="47" t="s">
        <v>194</v>
      </c>
      <c r="E77" s="35"/>
      <c r="F77" s="35"/>
      <c r="G77" s="35"/>
      <c r="H77" s="227">
        <f>H78+H85</f>
        <v>494.053</v>
      </c>
      <c r="I77" s="227">
        <f>I78+I85</f>
        <v>494.053</v>
      </c>
      <c r="J77" s="227">
        <f>J78+J85</f>
        <v>0</v>
      </c>
      <c r="K77" s="162">
        <f t="shared" si="1"/>
        <v>0</v>
      </c>
      <c r="M77" s="20">
        <f t="shared" si="14"/>
        <v>494053</v>
      </c>
      <c r="N77" s="20">
        <f t="shared" si="15"/>
        <v>494053</v>
      </c>
      <c r="O77" s="20">
        <f t="shared" si="16"/>
        <v>0</v>
      </c>
    </row>
    <row r="78" spans="1:15" ht="38.25" x14ac:dyDescent="0.2">
      <c r="A78" s="32">
        <v>70</v>
      </c>
      <c r="B78" s="167" t="s">
        <v>427</v>
      </c>
      <c r="C78" s="36">
        <v>807</v>
      </c>
      <c r="D78" s="47" t="s">
        <v>186</v>
      </c>
      <c r="E78" s="35"/>
      <c r="F78" s="35"/>
      <c r="G78" s="35"/>
      <c r="H78" s="227">
        <f>H79</f>
        <v>471.053</v>
      </c>
      <c r="I78" s="227">
        <f>I79</f>
        <v>471.053</v>
      </c>
      <c r="J78" s="227">
        <f>J79</f>
        <v>0</v>
      </c>
      <c r="K78" s="162">
        <f t="shared" si="1"/>
        <v>0</v>
      </c>
      <c r="M78" s="20">
        <f t="shared" si="14"/>
        <v>471053</v>
      </c>
      <c r="N78" s="20">
        <f t="shared" si="15"/>
        <v>471053</v>
      </c>
      <c r="O78" s="20">
        <f t="shared" si="16"/>
        <v>0</v>
      </c>
    </row>
    <row r="79" spans="1:15" ht="12.75" x14ac:dyDescent="0.2">
      <c r="A79" s="32">
        <v>71</v>
      </c>
      <c r="B79" s="168" t="s">
        <v>206</v>
      </c>
      <c r="C79" s="36">
        <v>807</v>
      </c>
      <c r="D79" s="47" t="s">
        <v>186</v>
      </c>
      <c r="E79" s="35" t="s">
        <v>195</v>
      </c>
      <c r="F79" s="35" t="s">
        <v>73</v>
      </c>
      <c r="G79" s="35"/>
      <c r="H79" s="227">
        <f>SUM(H80:H84)</f>
        <v>471.053</v>
      </c>
      <c r="I79" s="227">
        <f>SUM(I80:I84)</f>
        <v>471.053</v>
      </c>
      <c r="J79" s="227">
        <f t="shared" ref="J79" si="19">SUM(J80:J84)</f>
        <v>0</v>
      </c>
      <c r="K79" s="162">
        <f t="shared" si="1"/>
        <v>0</v>
      </c>
      <c r="M79" s="20">
        <f t="shared" si="14"/>
        <v>471053</v>
      </c>
      <c r="N79" s="20">
        <f t="shared" si="15"/>
        <v>471053</v>
      </c>
      <c r="O79" s="20">
        <f t="shared" si="16"/>
        <v>0</v>
      </c>
    </row>
    <row r="80" spans="1:15" ht="12.75" x14ac:dyDescent="0.2">
      <c r="A80" s="32">
        <v>72</v>
      </c>
      <c r="B80" s="215" t="s">
        <v>43</v>
      </c>
      <c r="C80" s="36">
        <v>807</v>
      </c>
      <c r="D80" s="47" t="s">
        <v>186</v>
      </c>
      <c r="E80" s="35" t="s">
        <v>233</v>
      </c>
      <c r="F80" s="35" t="s">
        <v>68</v>
      </c>
      <c r="G80" s="35" t="s">
        <v>184</v>
      </c>
      <c r="H80" s="227">
        <v>447.5</v>
      </c>
      <c r="I80" s="227">
        <v>447.5</v>
      </c>
      <c r="J80" s="227">
        <v>0</v>
      </c>
      <c r="K80" s="162">
        <f t="shared" ref="K80:K137" si="20">J80/I80*100</f>
        <v>0</v>
      </c>
      <c r="M80" s="20">
        <f t="shared" si="14"/>
        <v>447500</v>
      </c>
      <c r="N80" s="20">
        <f t="shared" si="15"/>
        <v>447500</v>
      </c>
      <c r="O80" s="20">
        <f t="shared" si="16"/>
        <v>0</v>
      </c>
    </row>
    <row r="81" spans="1:15" ht="12.75" x14ac:dyDescent="0.2">
      <c r="A81" s="32">
        <v>73</v>
      </c>
      <c r="B81" s="215" t="s">
        <v>229</v>
      </c>
      <c r="C81" s="36">
        <v>807</v>
      </c>
      <c r="D81" s="47" t="s">
        <v>186</v>
      </c>
      <c r="E81" s="35" t="s">
        <v>233</v>
      </c>
      <c r="F81" s="35" t="s">
        <v>68</v>
      </c>
      <c r="G81" s="35" t="s">
        <v>44</v>
      </c>
      <c r="H81" s="227">
        <v>23.553000000000001</v>
      </c>
      <c r="I81" s="227">
        <v>23.553000000000001</v>
      </c>
      <c r="J81" s="227">
        <v>0</v>
      </c>
      <c r="K81" s="162">
        <f t="shared" si="20"/>
        <v>0</v>
      </c>
      <c r="M81" s="20">
        <f t="shared" si="14"/>
        <v>23553</v>
      </c>
      <c r="N81" s="20">
        <f t="shared" si="15"/>
        <v>23553</v>
      </c>
      <c r="O81" s="20">
        <f t="shared" si="16"/>
        <v>0</v>
      </c>
    </row>
    <row r="82" spans="1:15" ht="12.75" x14ac:dyDescent="0.2">
      <c r="A82" s="32">
        <v>74</v>
      </c>
      <c r="B82" s="215" t="s">
        <v>35</v>
      </c>
      <c r="C82" s="36">
        <v>807</v>
      </c>
      <c r="D82" s="47" t="s">
        <v>186</v>
      </c>
      <c r="E82" s="35" t="s">
        <v>233</v>
      </c>
      <c r="F82" s="35" t="s">
        <v>68</v>
      </c>
      <c r="G82" s="35" t="s">
        <v>49</v>
      </c>
      <c r="H82" s="227">
        <v>0</v>
      </c>
      <c r="I82" s="227">
        <v>0</v>
      </c>
      <c r="J82" s="227">
        <v>0</v>
      </c>
      <c r="K82" s="162">
        <v>0</v>
      </c>
      <c r="M82" s="20">
        <f t="shared" si="14"/>
        <v>0</v>
      </c>
      <c r="N82" s="20">
        <f t="shared" si="15"/>
        <v>0</v>
      </c>
      <c r="O82" s="20">
        <f t="shared" si="16"/>
        <v>0</v>
      </c>
    </row>
    <row r="83" spans="1:15" ht="12.75" x14ac:dyDescent="0.2">
      <c r="A83" s="32">
        <v>75</v>
      </c>
      <c r="B83" s="215" t="s">
        <v>52</v>
      </c>
      <c r="C83" s="36">
        <v>807</v>
      </c>
      <c r="D83" s="47" t="s">
        <v>186</v>
      </c>
      <c r="E83" s="35" t="s">
        <v>233</v>
      </c>
      <c r="F83" s="35" t="s">
        <v>68</v>
      </c>
      <c r="G83" s="35" t="s">
        <v>184</v>
      </c>
      <c r="H83" s="227">
        <v>0</v>
      </c>
      <c r="I83" s="227">
        <v>0</v>
      </c>
      <c r="J83" s="227">
        <v>0</v>
      </c>
      <c r="K83" s="162">
        <v>0</v>
      </c>
      <c r="M83" s="20">
        <f t="shared" si="14"/>
        <v>0</v>
      </c>
      <c r="N83" s="20">
        <f t="shared" si="15"/>
        <v>0</v>
      </c>
      <c r="O83" s="20">
        <f t="shared" si="16"/>
        <v>0</v>
      </c>
    </row>
    <row r="84" spans="1:15" ht="12.75" x14ac:dyDescent="0.2">
      <c r="A84" s="32">
        <v>76</v>
      </c>
      <c r="B84" s="215" t="s">
        <v>431</v>
      </c>
      <c r="C84" s="36">
        <v>807</v>
      </c>
      <c r="D84" s="47" t="s">
        <v>186</v>
      </c>
      <c r="E84" s="35" t="s">
        <v>233</v>
      </c>
      <c r="F84" s="35" t="s">
        <v>68</v>
      </c>
      <c r="G84" s="35" t="s">
        <v>40</v>
      </c>
      <c r="H84" s="227">
        <v>0</v>
      </c>
      <c r="I84" s="227">
        <v>0</v>
      </c>
      <c r="J84" s="227">
        <v>0</v>
      </c>
      <c r="K84" s="162">
        <v>0</v>
      </c>
      <c r="M84" s="20">
        <f t="shared" si="14"/>
        <v>0</v>
      </c>
      <c r="N84" s="20">
        <f t="shared" si="15"/>
        <v>0</v>
      </c>
      <c r="O84" s="20">
        <f t="shared" si="16"/>
        <v>0</v>
      </c>
    </row>
    <row r="85" spans="1:15" ht="25.5" x14ac:dyDescent="0.2">
      <c r="A85" s="32">
        <v>77</v>
      </c>
      <c r="B85" s="48" t="s">
        <v>230</v>
      </c>
      <c r="C85" s="36">
        <v>807</v>
      </c>
      <c r="D85" s="47" t="s">
        <v>231</v>
      </c>
      <c r="E85" s="35"/>
      <c r="F85" s="35"/>
      <c r="G85" s="35"/>
      <c r="H85" s="227">
        <f>H86+H88</f>
        <v>23</v>
      </c>
      <c r="I85" s="227">
        <f t="shared" ref="I85:J85" si="21">I86+I88</f>
        <v>23</v>
      </c>
      <c r="J85" s="227">
        <f t="shared" si="21"/>
        <v>0</v>
      </c>
      <c r="K85" s="162">
        <f t="shared" si="20"/>
        <v>0</v>
      </c>
      <c r="M85" s="20">
        <f t="shared" si="14"/>
        <v>23000</v>
      </c>
      <c r="N85" s="20">
        <f t="shared" si="15"/>
        <v>23000</v>
      </c>
      <c r="O85" s="20">
        <f t="shared" si="16"/>
        <v>0</v>
      </c>
    </row>
    <row r="86" spans="1:15" ht="12.75" x14ac:dyDescent="0.2">
      <c r="A86" s="32">
        <v>78</v>
      </c>
      <c r="B86" s="215" t="s">
        <v>76</v>
      </c>
      <c r="C86" s="36">
        <v>807</v>
      </c>
      <c r="D86" s="47" t="s">
        <v>231</v>
      </c>
      <c r="E86" s="35" t="s">
        <v>232</v>
      </c>
      <c r="F86" s="35" t="s">
        <v>73</v>
      </c>
      <c r="G86" s="35"/>
      <c r="H86" s="227">
        <f>SUM(H87)</f>
        <v>22</v>
      </c>
      <c r="I86" s="227">
        <f>SUM(I87)</f>
        <v>22</v>
      </c>
      <c r="J86" s="227">
        <f>SUM(J87)</f>
        <v>0</v>
      </c>
      <c r="K86" s="162">
        <f t="shared" si="20"/>
        <v>0</v>
      </c>
      <c r="M86" s="20">
        <f t="shared" si="14"/>
        <v>22000</v>
      </c>
      <c r="N86" s="20">
        <f t="shared" si="15"/>
        <v>22000</v>
      </c>
      <c r="O86" s="20">
        <f t="shared" si="16"/>
        <v>0</v>
      </c>
    </row>
    <row r="87" spans="1:15" ht="12.75" x14ac:dyDescent="0.2">
      <c r="A87" s="32">
        <v>79</v>
      </c>
      <c r="B87" s="215" t="s">
        <v>208</v>
      </c>
      <c r="C87" s="36">
        <v>807</v>
      </c>
      <c r="D87" s="47" t="s">
        <v>231</v>
      </c>
      <c r="E87" s="35" t="s">
        <v>232</v>
      </c>
      <c r="F87" s="35" t="s">
        <v>68</v>
      </c>
      <c r="G87" s="35" t="s">
        <v>207</v>
      </c>
      <c r="H87" s="227">
        <v>22</v>
      </c>
      <c r="I87" s="227">
        <v>22</v>
      </c>
      <c r="J87" s="230">
        <v>0</v>
      </c>
      <c r="K87" s="162">
        <f t="shared" si="20"/>
        <v>0</v>
      </c>
      <c r="M87" s="20">
        <f t="shared" si="14"/>
        <v>22000</v>
      </c>
      <c r="N87" s="20">
        <f t="shared" si="15"/>
        <v>22000</v>
      </c>
      <c r="O87" s="20">
        <f t="shared" si="16"/>
        <v>0</v>
      </c>
    </row>
    <row r="88" spans="1:15" ht="63.75" x14ac:dyDescent="0.2">
      <c r="A88" s="32">
        <v>80</v>
      </c>
      <c r="B88" s="215" t="s">
        <v>426</v>
      </c>
      <c r="C88" s="36">
        <v>807</v>
      </c>
      <c r="D88" s="47" t="s">
        <v>231</v>
      </c>
      <c r="E88" s="35" t="s">
        <v>394</v>
      </c>
      <c r="F88" s="35"/>
      <c r="G88" s="35"/>
      <c r="H88" s="227">
        <f>H89</f>
        <v>1</v>
      </c>
      <c r="I88" s="227">
        <f>I89</f>
        <v>1</v>
      </c>
      <c r="J88" s="227">
        <f>J89</f>
        <v>0</v>
      </c>
      <c r="K88" s="162">
        <f t="shared" si="20"/>
        <v>0</v>
      </c>
      <c r="M88" s="20">
        <f t="shared" si="14"/>
        <v>1000</v>
      </c>
      <c r="N88" s="20">
        <f t="shared" si="15"/>
        <v>1000</v>
      </c>
      <c r="O88" s="20">
        <f t="shared" si="16"/>
        <v>0</v>
      </c>
    </row>
    <row r="89" spans="1:15" ht="51" x14ac:dyDescent="0.2">
      <c r="A89" s="32">
        <v>81</v>
      </c>
      <c r="B89" s="215" t="s">
        <v>396</v>
      </c>
      <c r="C89" s="36">
        <v>807</v>
      </c>
      <c r="D89" s="47" t="s">
        <v>231</v>
      </c>
      <c r="E89" s="35" t="s">
        <v>395</v>
      </c>
      <c r="F89" s="35"/>
      <c r="G89" s="35"/>
      <c r="H89" s="227">
        <f>H90</f>
        <v>1</v>
      </c>
      <c r="I89" s="227">
        <f t="shared" ref="I89:J89" si="22">I90</f>
        <v>1</v>
      </c>
      <c r="J89" s="227">
        <f t="shared" si="22"/>
        <v>0</v>
      </c>
      <c r="K89" s="162">
        <f t="shared" si="20"/>
        <v>0</v>
      </c>
      <c r="M89" s="20">
        <f t="shared" si="14"/>
        <v>1000</v>
      </c>
      <c r="N89" s="20">
        <f t="shared" si="15"/>
        <v>1000</v>
      </c>
      <c r="O89" s="20">
        <f t="shared" si="16"/>
        <v>0</v>
      </c>
    </row>
    <row r="90" spans="1:15" ht="12.75" x14ac:dyDescent="0.2">
      <c r="A90" s="32">
        <v>82</v>
      </c>
      <c r="B90" s="215" t="s">
        <v>52</v>
      </c>
      <c r="C90" s="36">
        <v>807</v>
      </c>
      <c r="D90" s="47" t="s">
        <v>231</v>
      </c>
      <c r="E90" s="35" t="s">
        <v>389</v>
      </c>
      <c r="F90" s="35" t="s">
        <v>68</v>
      </c>
      <c r="G90" s="35" t="s">
        <v>40</v>
      </c>
      <c r="H90" s="227">
        <v>1</v>
      </c>
      <c r="I90" s="227">
        <v>1</v>
      </c>
      <c r="J90" s="230">
        <v>0</v>
      </c>
      <c r="K90" s="162">
        <f t="shared" si="20"/>
        <v>0</v>
      </c>
      <c r="M90" s="20">
        <f t="shared" si="14"/>
        <v>1000</v>
      </c>
      <c r="N90" s="20">
        <f t="shared" si="15"/>
        <v>1000</v>
      </c>
      <c r="O90" s="20">
        <f t="shared" si="16"/>
        <v>0</v>
      </c>
    </row>
    <row r="91" spans="1:15" ht="12.75" x14ac:dyDescent="0.2">
      <c r="A91" s="32">
        <v>83</v>
      </c>
      <c r="B91" s="169" t="s">
        <v>148</v>
      </c>
      <c r="C91" s="152">
        <v>807</v>
      </c>
      <c r="D91" s="152" t="s">
        <v>149</v>
      </c>
      <c r="E91" s="35"/>
      <c r="F91" s="35"/>
      <c r="G91" s="35"/>
      <c r="H91" s="227">
        <f>H92+H100</f>
        <v>1070.0840000000001</v>
      </c>
      <c r="I91" s="227">
        <f>I92+I100</f>
        <v>1257.2331199999999</v>
      </c>
      <c r="J91" s="227">
        <f>J92+J100</f>
        <v>401.75373999999999</v>
      </c>
      <c r="K91" s="162">
        <f t="shared" si="20"/>
        <v>31.955389466672656</v>
      </c>
      <c r="M91" s="20">
        <f t="shared" si="14"/>
        <v>1070084</v>
      </c>
      <c r="N91" s="20">
        <f t="shared" si="15"/>
        <v>1257233.1199999999</v>
      </c>
      <c r="O91" s="20">
        <f t="shared" si="16"/>
        <v>401753.74</v>
      </c>
    </row>
    <row r="92" spans="1:15" ht="12.75" x14ac:dyDescent="0.2">
      <c r="A92" s="32">
        <v>84</v>
      </c>
      <c r="B92" s="170" t="s">
        <v>150</v>
      </c>
      <c r="C92" s="152">
        <v>807</v>
      </c>
      <c r="D92" s="152" t="s">
        <v>58</v>
      </c>
      <c r="E92" s="35" t="s">
        <v>177</v>
      </c>
      <c r="F92" s="35"/>
      <c r="G92" s="35"/>
      <c r="H92" s="227">
        <f>H93</f>
        <v>1070.0840000000001</v>
      </c>
      <c r="I92" s="230">
        <f>I93</f>
        <v>1257.2331199999999</v>
      </c>
      <c r="J92" s="230">
        <f t="shared" ref="J92" si="23">J93</f>
        <v>401.75373999999999</v>
      </c>
      <c r="K92" s="162">
        <f t="shared" si="20"/>
        <v>31.955389466672656</v>
      </c>
      <c r="M92" s="20">
        <f t="shared" si="14"/>
        <v>1070084</v>
      </c>
      <c r="N92" s="20">
        <f t="shared" si="15"/>
        <v>1257233.1199999999</v>
      </c>
      <c r="O92" s="20">
        <f t="shared" si="16"/>
        <v>401753.74</v>
      </c>
    </row>
    <row r="93" spans="1:15" ht="38.25" x14ac:dyDescent="0.2">
      <c r="A93" s="32">
        <v>85</v>
      </c>
      <c r="B93" s="167" t="s">
        <v>204</v>
      </c>
      <c r="C93" s="36">
        <v>807</v>
      </c>
      <c r="D93" s="35" t="s">
        <v>58</v>
      </c>
      <c r="E93" s="35" t="s">
        <v>177</v>
      </c>
      <c r="F93" s="35"/>
      <c r="G93" s="35"/>
      <c r="H93" s="227">
        <f>H94</f>
        <v>1070.0840000000001</v>
      </c>
      <c r="I93" s="230">
        <f>I94</f>
        <v>1257.2331199999999</v>
      </c>
      <c r="J93" s="230">
        <f>J94</f>
        <v>401.75373999999999</v>
      </c>
      <c r="K93" s="162">
        <f t="shared" si="20"/>
        <v>31.955389466672656</v>
      </c>
      <c r="M93" s="20">
        <f t="shared" si="14"/>
        <v>1070084</v>
      </c>
      <c r="N93" s="20">
        <f t="shared" si="15"/>
        <v>1257233.1199999999</v>
      </c>
      <c r="O93" s="20">
        <f t="shared" si="16"/>
        <v>401753.74</v>
      </c>
    </row>
    <row r="94" spans="1:15" ht="38.25" x14ac:dyDescent="0.2">
      <c r="A94" s="32">
        <v>86</v>
      </c>
      <c r="B94" s="167" t="s">
        <v>77</v>
      </c>
      <c r="C94" s="36">
        <v>807</v>
      </c>
      <c r="D94" s="35" t="s">
        <v>58</v>
      </c>
      <c r="E94" s="35" t="s">
        <v>177</v>
      </c>
      <c r="F94" s="35" t="s">
        <v>73</v>
      </c>
      <c r="G94" s="35"/>
      <c r="H94" s="227">
        <f>SUM(H95:H99)</f>
        <v>1070.0840000000001</v>
      </c>
      <c r="I94" s="227">
        <f>SUM(I95:I99)</f>
        <v>1257.2331199999999</v>
      </c>
      <c r="J94" s="227">
        <f>SUM(J95:J99)</f>
        <v>401.75373999999999</v>
      </c>
      <c r="K94" s="162">
        <f t="shared" si="20"/>
        <v>31.955389466672656</v>
      </c>
      <c r="M94" s="20">
        <f t="shared" si="14"/>
        <v>1070084</v>
      </c>
      <c r="N94" s="20">
        <f t="shared" si="15"/>
        <v>1257233.1199999999</v>
      </c>
      <c r="O94" s="20">
        <f t="shared" si="16"/>
        <v>401753.74</v>
      </c>
    </row>
    <row r="95" spans="1:15" ht="12.75" x14ac:dyDescent="0.2">
      <c r="A95" s="32">
        <v>87</v>
      </c>
      <c r="B95" s="215" t="s">
        <v>43</v>
      </c>
      <c r="C95" s="36">
        <v>807</v>
      </c>
      <c r="D95" s="35" t="s">
        <v>58</v>
      </c>
      <c r="E95" s="35" t="s">
        <v>177</v>
      </c>
      <c r="F95" s="35" t="s">
        <v>68</v>
      </c>
      <c r="G95" s="35" t="s">
        <v>44</v>
      </c>
      <c r="H95" s="227">
        <v>726.1</v>
      </c>
      <c r="I95" s="227">
        <v>913.24911999999995</v>
      </c>
      <c r="J95" s="227">
        <v>176.85373999999999</v>
      </c>
      <c r="K95" s="162">
        <f t="shared" si="20"/>
        <v>19.365333743765337</v>
      </c>
      <c r="M95" s="20">
        <f t="shared" si="14"/>
        <v>726100</v>
      </c>
      <c r="N95" s="20">
        <f t="shared" si="15"/>
        <v>913249.12</v>
      </c>
      <c r="O95" s="20">
        <f t="shared" si="16"/>
        <v>176853.74</v>
      </c>
    </row>
    <row r="96" spans="1:15" ht="12.75" x14ac:dyDescent="0.2">
      <c r="A96" s="32">
        <v>88</v>
      </c>
      <c r="B96" s="215" t="s">
        <v>45</v>
      </c>
      <c r="C96" s="36">
        <v>807</v>
      </c>
      <c r="D96" s="35" t="s">
        <v>58</v>
      </c>
      <c r="E96" s="35" t="s">
        <v>177</v>
      </c>
      <c r="F96" s="35" t="s">
        <v>68</v>
      </c>
      <c r="G96" s="35" t="s">
        <v>46</v>
      </c>
      <c r="H96" s="227">
        <v>0</v>
      </c>
      <c r="I96" s="227">
        <v>0</v>
      </c>
      <c r="J96" s="227">
        <v>0</v>
      </c>
      <c r="K96" s="162">
        <v>0</v>
      </c>
      <c r="M96" s="20">
        <f t="shared" si="14"/>
        <v>0</v>
      </c>
      <c r="N96" s="20">
        <f t="shared" si="15"/>
        <v>0</v>
      </c>
      <c r="O96" s="20">
        <f t="shared" si="16"/>
        <v>0</v>
      </c>
    </row>
    <row r="97" spans="1:15" ht="12.75" x14ac:dyDescent="0.2">
      <c r="A97" s="32">
        <v>89</v>
      </c>
      <c r="B97" s="215" t="s">
        <v>35</v>
      </c>
      <c r="C97" s="36">
        <v>807</v>
      </c>
      <c r="D97" s="35" t="s">
        <v>58</v>
      </c>
      <c r="E97" s="35" t="s">
        <v>177</v>
      </c>
      <c r="F97" s="35" t="s">
        <v>68</v>
      </c>
      <c r="G97" s="35" t="s">
        <v>49</v>
      </c>
      <c r="H97" s="227">
        <v>0</v>
      </c>
      <c r="I97" s="227">
        <v>0</v>
      </c>
      <c r="J97" s="227">
        <v>0</v>
      </c>
      <c r="K97" s="162">
        <v>0</v>
      </c>
      <c r="M97" s="20">
        <f t="shared" si="14"/>
        <v>0</v>
      </c>
      <c r="N97" s="20">
        <f t="shared" si="15"/>
        <v>0</v>
      </c>
      <c r="O97" s="20">
        <f t="shared" si="16"/>
        <v>0</v>
      </c>
    </row>
    <row r="98" spans="1:15" ht="12.75" x14ac:dyDescent="0.2">
      <c r="A98" s="32">
        <v>90</v>
      </c>
      <c r="B98" s="215" t="s">
        <v>52</v>
      </c>
      <c r="C98" s="36">
        <v>807</v>
      </c>
      <c r="D98" s="35" t="s">
        <v>58</v>
      </c>
      <c r="E98" s="35" t="s">
        <v>177</v>
      </c>
      <c r="F98" s="35" t="s">
        <v>68</v>
      </c>
      <c r="G98" s="35" t="s">
        <v>40</v>
      </c>
      <c r="H98" s="227">
        <v>0</v>
      </c>
      <c r="I98" s="227">
        <v>0</v>
      </c>
      <c r="J98" s="227">
        <v>0</v>
      </c>
      <c r="K98" s="162">
        <v>0</v>
      </c>
      <c r="M98" s="20">
        <f t="shared" si="14"/>
        <v>0</v>
      </c>
      <c r="N98" s="20">
        <f t="shared" si="15"/>
        <v>0</v>
      </c>
      <c r="O98" s="20">
        <f t="shared" si="16"/>
        <v>0</v>
      </c>
    </row>
    <row r="99" spans="1:15" ht="12.75" x14ac:dyDescent="0.2">
      <c r="A99" s="32">
        <v>91</v>
      </c>
      <c r="B99" s="215" t="s">
        <v>43</v>
      </c>
      <c r="C99" s="36">
        <v>807</v>
      </c>
      <c r="D99" s="35" t="s">
        <v>58</v>
      </c>
      <c r="E99" s="35" t="s">
        <v>428</v>
      </c>
      <c r="F99" s="35" t="s">
        <v>68</v>
      </c>
      <c r="G99" s="35" t="s">
        <v>429</v>
      </c>
      <c r="H99" s="227">
        <v>343.98399999999998</v>
      </c>
      <c r="I99" s="227">
        <v>343.98399999999998</v>
      </c>
      <c r="J99" s="227">
        <f>224.9</f>
        <v>224.9</v>
      </c>
      <c r="K99" s="162">
        <f t="shared" si="20"/>
        <v>65.380947951067498</v>
      </c>
      <c r="M99" s="20">
        <f t="shared" si="14"/>
        <v>343984</v>
      </c>
      <c r="N99" s="20">
        <f t="shared" si="15"/>
        <v>343984</v>
      </c>
      <c r="O99" s="20">
        <f t="shared" si="16"/>
        <v>224900</v>
      </c>
    </row>
    <row r="100" spans="1:15" ht="11.25" customHeight="1" x14ac:dyDescent="0.2">
      <c r="A100" s="32">
        <v>92</v>
      </c>
      <c r="B100" s="48" t="s">
        <v>260</v>
      </c>
      <c r="C100" s="36">
        <v>807</v>
      </c>
      <c r="D100" s="47" t="s">
        <v>258</v>
      </c>
      <c r="E100" s="35"/>
      <c r="F100" s="35"/>
      <c r="G100" s="35"/>
      <c r="H100" s="227">
        <f>H101</f>
        <v>0</v>
      </c>
      <c r="I100" s="227">
        <f>I101</f>
        <v>0</v>
      </c>
      <c r="J100" s="227">
        <f>J101</f>
        <v>0</v>
      </c>
      <c r="K100" s="162">
        <v>0</v>
      </c>
      <c r="M100" s="20">
        <f t="shared" si="14"/>
        <v>0</v>
      </c>
      <c r="N100" s="20">
        <f t="shared" si="15"/>
        <v>0</v>
      </c>
      <c r="O100" s="20">
        <f t="shared" si="16"/>
        <v>0</v>
      </c>
    </row>
    <row r="101" spans="1:15" ht="12" customHeight="1" x14ac:dyDescent="0.2">
      <c r="A101" s="32">
        <v>93</v>
      </c>
      <c r="B101" s="215" t="s">
        <v>76</v>
      </c>
      <c r="C101" s="36">
        <v>807</v>
      </c>
      <c r="D101" s="47" t="s">
        <v>258</v>
      </c>
      <c r="E101" s="35" t="s">
        <v>259</v>
      </c>
      <c r="F101" s="35" t="s">
        <v>73</v>
      </c>
      <c r="G101" s="35"/>
      <c r="H101" s="227">
        <f>SUM(H102)</f>
        <v>0</v>
      </c>
      <c r="I101" s="227">
        <f t="shared" ref="I101:J101" si="24">SUM(I102)</f>
        <v>0</v>
      </c>
      <c r="J101" s="227">
        <f t="shared" si="24"/>
        <v>0</v>
      </c>
      <c r="K101" s="162">
        <v>0</v>
      </c>
      <c r="M101" s="20">
        <f t="shared" si="14"/>
        <v>0</v>
      </c>
      <c r="N101" s="20">
        <f t="shared" si="15"/>
        <v>0</v>
      </c>
      <c r="O101" s="20">
        <f t="shared" si="16"/>
        <v>0</v>
      </c>
    </row>
    <row r="102" spans="1:15" ht="12" customHeight="1" x14ac:dyDescent="0.2">
      <c r="A102" s="32">
        <v>94</v>
      </c>
      <c r="B102" s="215" t="s">
        <v>45</v>
      </c>
      <c r="C102" s="36">
        <v>807</v>
      </c>
      <c r="D102" s="47" t="s">
        <v>258</v>
      </c>
      <c r="E102" s="35" t="s">
        <v>259</v>
      </c>
      <c r="F102" s="35" t="s">
        <v>68</v>
      </c>
      <c r="G102" s="35" t="s">
        <v>46</v>
      </c>
      <c r="H102" s="227">
        <v>0</v>
      </c>
      <c r="I102" s="227">
        <v>0</v>
      </c>
      <c r="J102" s="227">
        <v>0</v>
      </c>
      <c r="K102" s="162">
        <v>0</v>
      </c>
      <c r="M102" s="20">
        <f t="shared" si="14"/>
        <v>0</v>
      </c>
      <c r="N102" s="20">
        <f t="shared" si="15"/>
        <v>0</v>
      </c>
      <c r="O102" s="20">
        <f t="shared" si="16"/>
        <v>0</v>
      </c>
    </row>
    <row r="103" spans="1:15" ht="12" customHeight="1" x14ac:dyDescent="0.2">
      <c r="A103" s="32">
        <v>95</v>
      </c>
      <c r="B103" s="169" t="s">
        <v>151</v>
      </c>
      <c r="C103" s="152">
        <v>807</v>
      </c>
      <c r="D103" s="152" t="s">
        <v>30</v>
      </c>
      <c r="E103" s="35"/>
      <c r="F103" s="35"/>
      <c r="G103" s="35"/>
      <c r="H103" s="235">
        <f>H104+H116</f>
        <v>937.702</v>
      </c>
      <c r="I103" s="235">
        <f>I104+I116</f>
        <v>2375.0947200000005</v>
      </c>
      <c r="J103" s="235">
        <f>J104+J116</f>
        <v>1284.38158</v>
      </c>
      <c r="K103" s="162">
        <f t="shared" si="20"/>
        <v>54.077067713745741</v>
      </c>
      <c r="M103" s="20">
        <f t="shared" si="14"/>
        <v>937702</v>
      </c>
      <c r="N103" s="20">
        <f t="shared" si="15"/>
        <v>2375094.7200000007</v>
      </c>
      <c r="O103" s="20">
        <f t="shared" si="16"/>
        <v>1284381.58</v>
      </c>
    </row>
    <row r="104" spans="1:15" ht="12.75" x14ac:dyDescent="0.2">
      <c r="A104" s="32">
        <v>96</v>
      </c>
      <c r="B104" s="171" t="s">
        <v>152</v>
      </c>
      <c r="C104" s="152">
        <v>807</v>
      </c>
      <c r="D104" s="154" t="s">
        <v>31</v>
      </c>
      <c r="E104" s="35"/>
      <c r="F104" s="35"/>
      <c r="G104" s="35"/>
      <c r="H104" s="235">
        <f>H105+H113</f>
        <v>937.702</v>
      </c>
      <c r="I104" s="235">
        <f t="shared" ref="I104:J104" si="25">I105+I113</f>
        <v>2218.4490000000005</v>
      </c>
      <c r="J104" s="235">
        <f t="shared" si="25"/>
        <v>1127.73586</v>
      </c>
      <c r="K104" s="162">
        <f t="shared" si="20"/>
        <v>50.834428017051536</v>
      </c>
      <c r="M104" s="20">
        <f t="shared" si="14"/>
        <v>937702</v>
      </c>
      <c r="N104" s="20">
        <f t="shared" si="15"/>
        <v>2218449.0000000005</v>
      </c>
      <c r="O104" s="20">
        <f t="shared" si="16"/>
        <v>1127735.8600000001</v>
      </c>
    </row>
    <row r="105" spans="1:15" ht="38.25" x14ac:dyDescent="0.2">
      <c r="A105" s="32">
        <v>97</v>
      </c>
      <c r="B105" s="167" t="s">
        <v>204</v>
      </c>
      <c r="C105" s="36">
        <v>807</v>
      </c>
      <c r="D105" s="35" t="s">
        <v>31</v>
      </c>
      <c r="E105" s="35" t="s">
        <v>178</v>
      </c>
      <c r="F105" s="40"/>
      <c r="G105" s="40"/>
      <c r="H105" s="236">
        <f>H106</f>
        <v>780</v>
      </c>
      <c r="I105" s="236">
        <f>I106</f>
        <v>2060.7470000000003</v>
      </c>
      <c r="J105" s="236">
        <f>J106</f>
        <v>1127.73586</v>
      </c>
      <c r="K105" s="162">
        <f t="shared" si="20"/>
        <v>54.724614909059667</v>
      </c>
      <c r="M105" s="20">
        <f t="shared" si="14"/>
        <v>780000</v>
      </c>
      <c r="N105" s="20">
        <f t="shared" si="15"/>
        <v>2060747.0000000002</v>
      </c>
      <c r="O105" s="20">
        <f t="shared" si="16"/>
        <v>1127735.8600000001</v>
      </c>
    </row>
    <row r="106" spans="1:15" ht="77.25" customHeight="1" x14ac:dyDescent="0.2">
      <c r="A106" s="32">
        <v>98</v>
      </c>
      <c r="B106" s="168" t="s">
        <v>78</v>
      </c>
      <c r="C106" s="36">
        <v>807</v>
      </c>
      <c r="D106" s="35" t="s">
        <v>31</v>
      </c>
      <c r="E106" s="35" t="s">
        <v>179</v>
      </c>
      <c r="F106" s="35" t="s">
        <v>73</v>
      </c>
      <c r="G106" s="35"/>
      <c r="H106" s="235">
        <f>SUM(H107:H112)</f>
        <v>780</v>
      </c>
      <c r="I106" s="235">
        <f>SUM(I107:I112)</f>
        <v>2060.7470000000003</v>
      </c>
      <c r="J106" s="235">
        <f t="shared" ref="J106" si="26">SUM(J107:J112)</f>
        <v>1127.73586</v>
      </c>
      <c r="K106" s="162">
        <f t="shared" si="20"/>
        <v>54.724614909059667</v>
      </c>
      <c r="M106" s="20">
        <f t="shared" si="14"/>
        <v>780000</v>
      </c>
      <c r="N106" s="20">
        <f t="shared" si="15"/>
        <v>2060747.0000000002</v>
      </c>
      <c r="O106" s="20">
        <f t="shared" si="16"/>
        <v>1127735.8600000001</v>
      </c>
    </row>
    <row r="107" spans="1:15" ht="12.75" x14ac:dyDescent="0.2">
      <c r="A107" s="32">
        <v>99</v>
      </c>
      <c r="B107" s="215" t="s">
        <v>34</v>
      </c>
      <c r="C107" s="36">
        <v>807</v>
      </c>
      <c r="D107" s="35" t="s">
        <v>31</v>
      </c>
      <c r="E107" s="35" t="s">
        <v>180</v>
      </c>
      <c r="F107" s="35" t="s">
        <v>377</v>
      </c>
      <c r="G107" s="35" t="s">
        <v>42</v>
      </c>
      <c r="H107" s="235">
        <v>780</v>
      </c>
      <c r="I107" s="235">
        <v>780</v>
      </c>
      <c r="J107" s="235">
        <v>267.45938999999998</v>
      </c>
      <c r="K107" s="162">
        <f t="shared" si="20"/>
        <v>34.289665384615382</v>
      </c>
      <c r="M107" s="20">
        <f t="shared" si="14"/>
        <v>780000</v>
      </c>
      <c r="N107" s="20">
        <f t="shared" si="15"/>
        <v>780000</v>
      </c>
      <c r="O107" s="20">
        <f t="shared" si="16"/>
        <v>267459.39</v>
      </c>
    </row>
    <row r="108" spans="1:15" ht="12.75" x14ac:dyDescent="0.2">
      <c r="A108" s="32">
        <v>100</v>
      </c>
      <c r="B108" s="215" t="s">
        <v>43</v>
      </c>
      <c r="C108" s="36">
        <v>807</v>
      </c>
      <c r="D108" s="35" t="s">
        <v>31</v>
      </c>
      <c r="E108" s="35" t="s">
        <v>181</v>
      </c>
      <c r="F108" s="35" t="s">
        <v>68</v>
      </c>
      <c r="G108" s="35" t="s">
        <v>44</v>
      </c>
      <c r="H108" s="235">
        <v>0</v>
      </c>
      <c r="I108" s="235">
        <v>0</v>
      </c>
      <c r="J108" s="235">
        <v>0</v>
      </c>
      <c r="K108" s="162">
        <v>0</v>
      </c>
      <c r="M108" s="20">
        <f t="shared" si="14"/>
        <v>0</v>
      </c>
      <c r="N108" s="20">
        <f t="shared" si="15"/>
        <v>0</v>
      </c>
      <c r="O108" s="20">
        <f t="shared" si="16"/>
        <v>0</v>
      </c>
    </row>
    <row r="109" spans="1:15" ht="12.75" x14ac:dyDescent="0.2">
      <c r="A109" s="32">
        <v>101</v>
      </c>
      <c r="B109" s="215" t="s">
        <v>208</v>
      </c>
      <c r="C109" s="36">
        <v>807</v>
      </c>
      <c r="D109" s="35" t="s">
        <v>31</v>
      </c>
      <c r="E109" s="35" t="s">
        <v>181</v>
      </c>
      <c r="F109" s="35" t="s">
        <v>68</v>
      </c>
      <c r="G109" s="35" t="s">
        <v>207</v>
      </c>
      <c r="H109" s="235">
        <v>0</v>
      </c>
      <c r="I109" s="235">
        <v>7.3764700000000003</v>
      </c>
      <c r="J109" s="235">
        <v>7.3764700000000003</v>
      </c>
      <c r="K109" s="162">
        <v>0</v>
      </c>
      <c r="M109" s="20"/>
      <c r="N109" s="20"/>
      <c r="O109" s="20"/>
    </row>
    <row r="110" spans="1:15" ht="12.75" x14ac:dyDescent="0.2">
      <c r="A110" s="32">
        <v>102</v>
      </c>
      <c r="B110" s="215" t="s">
        <v>35</v>
      </c>
      <c r="C110" s="36">
        <v>807</v>
      </c>
      <c r="D110" s="35" t="s">
        <v>31</v>
      </c>
      <c r="E110" s="35" t="s">
        <v>181</v>
      </c>
      <c r="F110" s="35" t="s">
        <v>68</v>
      </c>
      <c r="G110" s="35" t="s">
        <v>49</v>
      </c>
      <c r="H110" s="235">
        <v>0</v>
      </c>
      <c r="I110" s="235">
        <v>1100</v>
      </c>
      <c r="J110" s="235">
        <v>840</v>
      </c>
      <c r="K110" s="162">
        <v>0</v>
      </c>
      <c r="M110" s="20">
        <f t="shared" si="14"/>
        <v>0</v>
      </c>
      <c r="N110" s="20">
        <f t="shared" si="15"/>
        <v>1100000</v>
      </c>
      <c r="O110" s="20">
        <f t="shared" si="16"/>
        <v>840000</v>
      </c>
    </row>
    <row r="111" spans="1:15" ht="12.75" x14ac:dyDescent="0.2">
      <c r="A111" s="32">
        <v>103</v>
      </c>
      <c r="B111" s="215" t="s">
        <v>52</v>
      </c>
      <c r="C111" s="36">
        <v>807</v>
      </c>
      <c r="D111" s="35" t="s">
        <v>31</v>
      </c>
      <c r="E111" s="35" t="s">
        <v>181</v>
      </c>
      <c r="F111" s="35" t="s">
        <v>68</v>
      </c>
      <c r="G111" s="35" t="s">
        <v>40</v>
      </c>
      <c r="H111" s="235">
        <v>0</v>
      </c>
      <c r="I111" s="235">
        <v>173.37053</v>
      </c>
      <c r="J111" s="235">
        <v>12.9</v>
      </c>
      <c r="K111" s="162">
        <f t="shared" si="20"/>
        <v>7.4407109443571526</v>
      </c>
      <c r="M111" s="20">
        <f t="shared" si="14"/>
        <v>0</v>
      </c>
      <c r="N111" s="20">
        <f t="shared" si="15"/>
        <v>173370.53</v>
      </c>
      <c r="O111" s="20">
        <f t="shared" si="16"/>
        <v>12900</v>
      </c>
    </row>
    <row r="112" spans="1:15" ht="12.75" x14ac:dyDescent="0.2">
      <c r="A112" s="32">
        <v>104</v>
      </c>
      <c r="B112" s="215" t="s">
        <v>45</v>
      </c>
      <c r="C112" s="36">
        <v>807</v>
      </c>
      <c r="D112" s="35" t="s">
        <v>31</v>
      </c>
      <c r="E112" s="35" t="s">
        <v>181</v>
      </c>
      <c r="F112" s="35" t="s">
        <v>68</v>
      </c>
      <c r="G112" s="35" t="s">
        <v>46</v>
      </c>
      <c r="H112" s="235">
        <v>0</v>
      </c>
      <c r="I112" s="235">
        <v>0</v>
      </c>
      <c r="J112" s="235">
        <v>0</v>
      </c>
      <c r="K112" s="162">
        <v>0</v>
      </c>
      <c r="M112" s="20">
        <f t="shared" si="14"/>
        <v>0</v>
      </c>
      <c r="N112" s="20">
        <f t="shared" si="15"/>
        <v>0</v>
      </c>
      <c r="O112" s="20">
        <f t="shared" si="16"/>
        <v>0</v>
      </c>
    </row>
    <row r="113" spans="1:15" ht="12.75" x14ac:dyDescent="0.2">
      <c r="A113" s="32">
        <v>105</v>
      </c>
      <c r="B113" s="215" t="s">
        <v>76</v>
      </c>
      <c r="C113" s="36">
        <v>807</v>
      </c>
      <c r="D113" s="35" t="s">
        <v>31</v>
      </c>
      <c r="E113" s="35" t="s">
        <v>261</v>
      </c>
      <c r="F113" s="35" t="s">
        <v>73</v>
      </c>
      <c r="G113" s="35"/>
      <c r="H113" s="235">
        <f>SUM(H114:H115)</f>
        <v>157.702</v>
      </c>
      <c r="I113" s="235">
        <f>SUM(I114:I115)</f>
        <v>157.702</v>
      </c>
      <c r="J113" s="235">
        <f>SUM(J114:J115)</f>
        <v>0</v>
      </c>
      <c r="K113" s="162">
        <f t="shared" si="20"/>
        <v>0</v>
      </c>
      <c r="M113" s="20">
        <f t="shared" si="14"/>
        <v>157702</v>
      </c>
      <c r="N113" s="20">
        <f t="shared" si="15"/>
        <v>157702</v>
      </c>
      <c r="O113" s="20">
        <f t="shared" si="16"/>
        <v>0</v>
      </c>
    </row>
    <row r="114" spans="1:15" ht="12.75" x14ac:dyDescent="0.2">
      <c r="A114" s="32">
        <v>106</v>
      </c>
      <c r="B114" s="215" t="s">
        <v>45</v>
      </c>
      <c r="C114" s="36">
        <v>807</v>
      </c>
      <c r="D114" s="35" t="s">
        <v>31</v>
      </c>
      <c r="E114" s="35" t="s">
        <v>261</v>
      </c>
      <c r="F114" s="35" t="s">
        <v>68</v>
      </c>
      <c r="G114" s="35" t="s">
        <v>46</v>
      </c>
      <c r="H114" s="235">
        <v>157.702</v>
      </c>
      <c r="I114" s="235">
        <v>157.702</v>
      </c>
      <c r="J114" s="235">
        <v>0</v>
      </c>
      <c r="K114" s="162">
        <f t="shared" si="20"/>
        <v>0</v>
      </c>
      <c r="M114" s="20">
        <f t="shared" si="14"/>
        <v>157702</v>
      </c>
      <c r="N114" s="20">
        <f t="shared" si="15"/>
        <v>157702</v>
      </c>
      <c r="O114" s="20">
        <f t="shared" si="16"/>
        <v>0</v>
      </c>
    </row>
    <row r="115" spans="1:15" ht="12.75" x14ac:dyDescent="0.2">
      <c r="A115" s="32">
        <v>107</v>
      </c>
      <c r="B115" s="215" t="s">
        <v>47</v>
      </c>
      <c r="C115" s="36">
        <v>807</v>
      </c>
      <c r="D115" s="35" t="s">
        <v>31</v>
      </c>
      <c r="E115" s="35" t="s">
        <v>261</v>
      </c>
      <c r="F115" s="35" t="s">
        <v>68</v>
      </c>
      <c r="G115" s="35" t="s">
        <v>48</v>
      </c>
      <c r="H115" s="235">
        <v>0</v>
      </c>
      <c r="I115" s="235">
        <v>0</v>
      </c>
      <c r="J115" s="235">
        <v>0</v>
      </c>
      <c r="K115" s="162">
        <v>0</v>
      </c>
      <c r="M115" s="20">
        <f t="shared" si="14"/>
        <v>0</v>
      </c>
      <c r="N115" s="20">
        <f t="shared" si="15"/>
        <v>0</v>
      </c>
      <c r="O115" s="20">
        <f t="shared" si="16"/>
        <v>0</v>
      </c>
    </row>
    <row r="116" spans="1:15" ht="12.75" x14ac:dyDescent="0.2">
      <c r="A116" s="32">
        <v>108</v>
      </c>
      <c r="B116" s="237" t="s">
        <v>445</v>
      </c>
      <c r="C116" s="36">
        <v>807</v>
      </c>
      <c r="D116" s="47" t="s">
        <v>107</v>
      </c>
      <c r="E116" s="35"/>
      <c r="F116" s="35"/>
      <c r="G116" s="35"/>
      <c r="H116" s="227">
        <f>H117</f>
        <v>0</v>
      </c>
      <c r="I116" s="227">
        <f>I117</f>
        <v>156.64571999999998</v>
      </c>
      <c r="J116" s="227">
        <f>J117</f>
        <v>156.64571999999998</v>
      </c>
      <c r="K116" s="162">
        <v>0</v>
      </c>
      <c r="M116" s="20">
        <f t="shared" si="14"/>
        <v>0</v>
      </c>
      <c r="N116" s="20">
        <f t="shared" si="15"/>
        <v>156645.71999999997</v>
      </c>
      <c r="O116" s="20">
        <f t="shared" si="16"/>
        <v>156645.71999999997</v>
      </c>
    </row>
    <row r="117" spans="1:15" ht="12.75" x14ac:dyDescent="0.2">
      <c r="A117" s="32">
        <v>109</v>
      </c>
      <c r="B117" s="215" t="s">
        <v>76</v>
      </c>
      <c r="C117" s="36">
        <v>807</v>
      </c>
      <c r="D117" s="47" t="s">
        <v>107</v>
      </c>
      <c r="E117" s="35" t="s">
        <v>190</v>
      </c>
      <c r="F117" s="35" t="s">
        <v>73</v>
      </c>
      <c r="G117" s="35"/>
      <c r="H117" s="227">
        <f>SUM(H119)</f>
        <v>0</v>
      </c>
      <c r="I117" s="227">
        <f>SUM(I118:I119)</f>
        <v>156.64571999999998</v>
      </c>
      <c r="J117" s="227">
        <f>SUM(J118:J119)</f>
        <v>156.64571999999998</v>
      </c>
      <c r="K117" s="162">
        <v>0</v>
      </c>
      <c r="M117" s="20">
        <f t="shared" si="14"/>
        <v>0</v>
      </c>
      <c r="N117" s="20">
        <f t="shared" si="15"/>
        <v>156645.71999999997</v>
      </c>
      <c r="O117" s="20">
        <f t="shared" si="16"/>
        <v>156645.71999999997</v>
      </c>
    </row>
    <row r="118" spans="1:15" ht="12.75" x14ac:dyDescent="0.2">
      <c r="A118" s="32">
        <v>110</v>
      </c>
      <c r="B118" s="215" t="s">
        <v>43</v>
      </c>
      <c r="C118" s="36">
        <v>807</v>
      </c>
      <c r="D118" s="47" t="s">
        <v>107</v>
      </c>
      <c r="E118" s="35" t="s">
        <v>190</v>
      </c>
      <c r="F118" s="35" t="s">
        <v>68</v>
      </c>
      <c r="G118" s="35" t="s">
        <v>44</v>
      </c>
      <c r="H118" s="227">
        <v>0</v>
      </c>
      <c r="I118" s="227">
        <v>145.01903999999999</v>
      </c>
      <c r="J118" s="227">
        <v>145.01903999999999</v>
      </c>
      <c r="K118" s="162"/>
      <c r="M118" s="20"/>
      <c r="N118" s="20"/>
      <c r="O118" s="20"/>
    </row>
    <row r="119" spans="1:15" ht="12.75" x14ac:dyDescent="0.2">
      <c r="A119" s="32">
        <v>111</v>
      </c>
      <c r="B119" s="215" t="s">
        <v>45</v>
      </c>
      <c r="C119" s="36">
        <v>807</v>
      </c>
      <c r="D119" s="47" t="s">
        <v>107</v>
      </c>
      <c r="E119" s="35" t="s">
        <v>190</v>
      </c>
      <c r="F119" s="35" t="s">
        <v>68</v>
      </c>
      <c r="G119" s="35" t="s">
        <v>46</v>
      </c>
      <c r="H119" s="227">
        <v>0</v>
      </c>
      <c r="I119" s="227">
        <v>11.62668</v>
      </c>
      <c r="J119" s="227">
        <v>11.62668</v>
      </c>
      <c r="K119" s="162">
        <v>0</v>
      </c>
      <c r="M119" s="20">
        <f t="shared" si="14"/>
        <v>0</v>
      </c>
      <c r="N119" s="20">
        <f t="shared" si="15"/>
        <v>11626.68</v>
      </c>
      <c r="O119" s="20">
        <f t="shared" si="16"/>
        <v>11626.68</v>
      </c>
    </row>
    <row r="120" spans="1:15" ht="17.25" customHeight="1" x14ac:dyDescent="0.2">
      <c r="A120" s="32">
        <v>112</v>
      </c>
      <c r="B120" s="49" t="s">
        <v>153</v>
      </c>
      <c r="C120" s="50">
        <v>807</v>
      </c>
      <c r="D120" s="51" t="s">
        <v>28</v>
      </c>
      <c r="E120" s="51"/>
      <c r="F120" s="51"/>
      <c r="G120" s="52"/>
      <c r="H120" s="229">
        <f>H121</f>
        <v>1</v>
      </c>
      <c r="I120" s="229">
        <f t="shared" ref="I120:J120" si="27">I121</f>
        <v>1</v>
      </c>
      <c r="J120" s="229">
        <f t="shared" si="27"/>
        <v>1</v>
      </c>
      <c r="K120" s="162">
        <f t="shared" si="20"/>
        <v>100</v>
      </c>
      <c r="M120" s="20">
        <f t="shared" si="14"/>
        <v>1000</v>
      </c>
      <c r="N120" s="20">
        <f t="shared" si="15"/>
        <v>1000</v>
      </c>
      <c r="O120" s="20">
        <f t="shared" si="16"/>
        <v>1000</v>
      </c>
    </row>
    <row r="121" spans="1:15" ht="12.75" x14ac:dyDescent="0.2">
      <c r="A121" s="32">
        <v>113</v>
      </c>
      <c r="B121" s="158" t="s">
        <v>211</v>
      </c>
      <c r="C121" s="152">
        <v>807</v>
      </c>
      <c r="D121" s="152" t="s">
        <v>28</v>
      </c>
      <c r="E121" s="152" t="s">
        <v>154</v>
      </c>
      <c r="F121" s="152" t="s">
        <v>154</v>
      </c>
      <c r="G121" s="35"/>
      <c r="H121" s="227">
        <f>H122</f>
        <v>1</v>
      </c>
      <c r="I121" s="227">
        <f t="shared" ref="I121:J121" si="28">I122</f>
        <v>1</v>
      </c>
      <c r="J121" s="227">
        <f t="shared" si="28"/>
        <v>1</v>
      </c>
      <c r="K121" s="162">
        <f t="shared" si="20"/>
        <v>100</v>
      </c>
      <c r="M121" s="20">
        <f t="shared" si="14"/>
        <v>1000</v>
      </c>
      <c r="N121" s="20">
        <f t="shared" si="15"/>
        <v>1000</v>
      </c>
      <c r="O121" s="20">
        <f t="shared" si="16"/>
        <v>1000</v>
      </c>
    </row>
    <row r="122" spans="1:15" ht="38.25" x14ac:dyDescent="0.2">
      <c r="A122" s="32">
        <v>114</v>
      </c>
      <c r="B122" s="64" t="s">
        <v>212</v>
      </c>
      <c r="C122" s="152">
        <v>807</v>
      </c>
      <c r="D122" s="152" t="s">
        <v>28</v>
      </c>
      <c r="E122" s="152" t="s">
        <v>213</v>
      </c>
      <c r="F122" s="152" t="s">
        <v>154</v>
      </c>
      <c r="G122" s="35"/>
      <c r="H122" s="227">
        <f>SUM(H123)</f>
        <v>1</v>
      </c>
      <c r="I122" s="227">
        <f t="shared" ref="I122:J122" si="29">SUM(I123)</f>
        <v>1</v>
      </c>
      <c r="J122" s="227">
        <f t="shared" si="29"/>
        <v>1</v>
      </c>
      <c r="K122" s="162">
        <f t="shared" si="20"/>
        <v>100</v>
      </c>
      <c r="M122" s="20">
        <f t="shared" si="14"/>
        <v>1000</v>
      </c>
      <c r="N122" s="20">
        <f t="shared" si="15"/>
        <v>1000</v>
      </c>
      <c r="O122" s="20">
        <f t="shared" si="16"/>
        <v>1000</v>
      </c>
    </row>
    <row r="123" spans="1:15" ht="12.75" x14ac:dyDescent="0.2">
      <c r="A123" s="32">
        <v>115</v>
      </c>
      <c r="B123" s="151" t="s">
        <v>214</v>
      </c>
      <c r="C123" s="152">
        <v>807</v>
      </c>
      <c r="D123" s="152" t="s">
        <v>28</v>
      </c>
      <c r="E123" s="152">
        <v>6400080000</v>
      </c>
      <c r="F123" s="152" t="s">
        <v>154</v>
      </c>
      <c r="G123" s="35"/>
      <c r="H123" s="227">
        <f>H124</f>
        <v>1</v>
      </c>
      <c r="I123" s="227">
        <f t="shared" ref="I123:J125" si="30">I124</f>
        <v>1</v>
      </c>
      <c r="J123" s="227">
        <f t="shared" si="30"/>
        <v>1</v>
      </c>
      <c r="K123" s="162">
        <f t="shared" si="20"/>
        <v>100</v>
      </c>
      <c r="M123" s="20">
        <f t="shared" si="14"/>
        <v>1000</v>
      </c>
      <c r="N123" s="20">
        <f t="shared" si="15"/>
        <v>1000</v>
      </c>
      <c r="O123" s="20">
        <f t="shared" si="16"/>
        <v>1000</v>
      </c>
    </row>
    <row r="124" spans="1:15" ht="38.25" x14ac:dyDescent="0.2">
      <c r="A124" s="32">
        <v>116</v>
      </c>
      <c r="B124" s="151" t="s">
        <v>215</v>
      </c>
      <c r="C124" s="152">
        <v>807</v>
      </c>
      <c r="D124" s="152" t="s">
        <v>28</v>
      </c>
      <c r="E124" s="152">
        <v>6400087000</v>
      </c>
      <c r="F124" s="152" t="s">
        <v>154</v>
      </c>
      <c r="G124" s="35"/>
      <c r="H124" s="227">
        <f>H125</f>
        <v>1</v>
      </c>
      <c r="I124" s="227">
        <f t="shared" si="30"/>
        <v>1</v>
      </c>
      <c r="J124" s="227">
        <f t="shared" si="30"/>
        <v>1</v>
      </c>
      <c r="K124" s="162">
        <f t="shared" si="20"/>
        <v>100</v>
      </c>
      <c r="M124" s="20">
        <f t="shared" si="14"/>
        <v>1000</v>
      </c>
      <c r="N124" s="20">
        <f t="shared" si="15"/>
        <v>1000</v>
      </c>
      <c r="O124" s="20">
        <f t="shared" si="16"/>
        <v>1000</v>
      </c>
    </row>
    <row r="125" spans="1:15" ht="12.75" x14ac:dyDescent="0.2">
      <c r="A125" s="32">
        <v>117</v>
      </c>
      <c r="B125" s="151" t="s">
        <v>216</v>
      </c>
      <c r="C125" s="152">
        <v>807</v>
      </c>
      <c r="D125" s="152" t="s">
        <v>28</v>
      </c>
      <c r="E125" s="152">
        <v>6400087000</v>
      </c>
      <c r="F125" s="152">
        <v>500</v>
      </c>
      <c r="G125" s="35" t="s">
        <v>81</v>
      </c>
      <c r="H125" s="227">
        <f>H126</f>
        <v>1</v>
      </c>
      <c r="I125" s="227">
        <f t="shared" si="30"/>
        <v>1</v>
      </c>
      <c r="J125" s="227">
        <f t="shared" si="30"/>
        <v>1</v>
      </c>
      <c r="K125" s="162">
        <f t="shared" si="20"/>
        <v>100</v>
      </c>
      <c r="M125" s="20">
        <f t="shared" si="14"/>
        <v>1000</v>
      </c>
      <c r="N125" s="20">
        <f t="shared" si="15"/>
        <v>1000</v>
      </c>
      <c r="O125" s="20">
        <f t="shared" si="16"/>
        <v>1000</v>
      </c>
    </row>
    <row r="126" spans="1:15" ht="14.25" customHeight="1" x14ac:dyDescent="0.2">
      <c r="A126" s="32">
        <v>118</v>
      </c>
      <c r="B126" s="151" t="s">
        <v>56</v>
      </c>
      <c r="C126" s="152">
        <v>807</v>
      </c>
      <c r="D126" s="152" t="s">
        <v>28</v>
      </c>
      <c r="E126" s="152">
        <v>6400087000</v>
      </c>
      <c r="F126" s="152">
        <v>540</v>
      </c>
      <c r="G126" s="35" t="s">
        <v>81</v>
      </c>
      <c r="H126" s="227">
        <v>1</v>
      </c>
      <c r="I126" s="227">
        <v>1</v>
      </c>
      <c r="J126" s="227">
        <v>1</v>
      </c>
      <c r="K126" s="162">
        <f t="shared" si="20"/>
        <v>100</v>
      </c>
      <c r="M126" s="20">
        <f t="shared" si="14"/>
        <v>1000</v>
      </c>
      <c r="N126" s="20">
        <f t="shared" si="15"/>
        <v>1000</v>
      </c>
      <c r="O126" s="20">
        <f t="shared" si="16"/>
        <v>1000</v>
      </c>
    </row>
    <row r="127" spans="1:15" ht="12.75" hidden="1" customHeight="1" x14ac:dyDescent="0.2">
      <c r="A127" s="32">
        <v>119</v>
      </c>
      <c r="B127" s="215" t="s">
        <v>187</v>
      </c>
      <c r="C127" s="36">
        <v>807</v>
      </c>
      <c r="D127" s="35" t="s">
        <v>107</v>
      </c>
      <c r="E127" s="35"/>
      <c r="F127" s="35"/>
      <c r="G127" s="35"/>
      <c r="H127" s="227">
        <f>H128</f>
        <v>0</v>
      </c>
      <c r="I127" s="230">
        <f t="shared" ref="I127:J129" si="31">I128</f>
        <v>0</v>
      </c>
      <c r="J127" s="230">
        <f t="shared" si="31"/>
        <v>0</v>
      </c>
      <c r="K127" s="162" t="e">
        <f t="shared" si="20"/>
        <v>#DIV/0!</v>
      </c>
      <c r="M127" s="20">
        <f t="shared" ref="M127:M142" si="32">H127*1000</f>
        <v>0</v>
      </c>
      <c r="N127" s="20">
        <f t="shared" ref="N127:N142" si="33">I127*1000</f>
        <v>0</v>
      </c>
      <c r="O127" s="20">
        <f t="shared" ref="O127:O142" si="34">J127*1000</f>
        <v>0</v>
      </c>
    </row>
    <row r="128" spans="1:15" ht="12.75" hidden="1" customHeight="1" x14ac:dyDescent="0.2">
      <c r="A128" s="32">
        <v>120</v>
      </c>
      <c r="B128" s="48" t="s">
        <v>188</v>
      </c>
      <c r="C128" s="36">
        <v>807</v>
      </c>
      <c r="D128" s="35" t="s">
        <v>107</v>
      </c>
      <c r="E128" s="35"/>
      <c r="F128" s="35"/>
      <c r="G128" s="35"/>
      <c r="H128" s="227">
        <f>H129</f>
        <v>0</v>
      </c>
      <c r="I128" s="230">
        <f t="shared" si="31"/>
        <v>0</v>
      </c>
      <c r="J128" s="230">
        <f t="shared" si="31"/>
        <v>0</v>
      </c>
      <c r="K128" s="162" t="e">
        <f t="shared" si="20"/>
        <v>#DIV/0!</v>
      </c>
      <c r="M128" s="20">
        <f t="shared" si="32"/>
        <v>0</v>
      </c>
      <c r="N128" s="20">
        <f t="shared" si="33"/>
        <v>0</v>
      </c>
      <c r="O128" s="20">
        <f t="shared" si="34"/>
        <v>0</v>
      </c>
    </row>
    <row r="129" spans="1:15" ht="12.75" hidden="1" customHeight="1" x14ac:dyDescent="0.2">
      <c r="A129" s="32">
        <v>121</v>
      </c>
      <c r="B129" s="215" t="s">
        <v>144</v>
      </c>
      <c r="C129" s="36">
        <v>807</v>
      </c>
      <c r="D129" s="35" t="s">
        <v>107</v>
      </c>
      <c r="E129" s="35" t="s">
        <v>190</v>
      </c>
      <c r="F129" s="35" t="s">
        <v>191</v>
      </c>
      <c r="G129" s="35"/>
      <c r="H129" s="227">
        <f>H130</f>
        <v>0</v>
      </c>
      <c r="I129" s="230">
        <f t="shared" si="31"/>
        <v>0</v>
      </c>
      <c r="J129" s="230">
        <f t="shared" si="31"/>
        <v>0</v>
      </c>
      <c r="K129" s="162" t="e">
        <f t="shared" si="20"/>
        <v>#DIV/0!</v>
      </c>
      <c r="M129" s="20">
        <f t="shared" si="32"/>
        <v>0</v>
      </c>
      <c r="N129" s="20">
        <f t="shared" si="33"/>
        <v>0</v>
      </c>
      <c r="O129" s="20">
        <f t="shared" si="34"/>
        <v>0</v>
      </c>
    </row>
    <row r="130" spans="1:15" ht="12.75" hidden="1" customHeight="1" x14ac:dyDescent="0.2">
      <c r="A130" s="32">
        <v>122</v>
      </c>
      <c r="B130" s="215" t="s">
        <v>189</v>
      </c>
      <c r="C130" s="36">
        <v>807</v>
      </c>
      <c r="D130" s="35" t="s">
        <v>107</v>
      </c>
      <c r="E130" s="35" t="s">
        <v>190</v>
      </c>
      <c r="F130" s="35" t="s">
        <v>192</v>
      </c>
      <c r="G130" s="35" t="s">
        <v>193</v>
      </c>
      <c r="H130" s="227">
        <v>0</v>
      </c>
      <c r="I130" s="230">
        <v>0</v>
      </c>
      <c r="J130" s="230">
        <v>0</v>
      </c>
      <c r="K130" s="162" t="e">
        <f t="shared" si="20"/>
        <v>#DIV/0!</v>
      </c>
      <c r="M130" s="20">
        <f t="shared" si="32"/>
        <v>0</v>
      </c>
      <c r="N130" s="20">
        <f t="shared" si="33"/>
        <v>0</v>
      </c>
      <c r="O130" s="20">
        <f t="shared" si="34"/>
        <v>0</v>
      </c>
    </row>
    <row r="131" spans="1:15" ht="13.5" x14ac:dyDescent="0.2">
      <c r="A131" s="32">
        <v>123</v>
      </c>
      <c r="B131" s="148" t="s">
        <v>238</v>
      </c>
      <c r="C131" s="149">
        <v>807</v>
      </c>
      <c r="D131" s="149">
        <v>1000</v>
      </c>
      <c r="E131" s="149" t="s">
        <v>154</v>
      </c>
      <c r="F131" s="149" t="s">
        <v>154</v>
      </c>
      <c r="G131" s="35"/>
      <c r="H131" s="229">
        <f>H132+H138</f>
        <v>62.231999999999999</v>
      </c>
      <c r="I131" s="229">
        <f t="shared" ref="I131:J131" si="35">I132+I138</f>
        <v>132.232</v>
      </c>
      <c r="J131" s="229">
        <f t="shared" si="35"/>
        <v>80</v>
      </c>
      <c r="K131" s="162">
        <f t="shared" si="20"/>
        <v>60.499727751225116</v>
      </c>
      <c r="M131" s="20">
        <f t="shared" si="32"/>
        <v>62232</v>
      </c>
      <c r="N131" s="20">
        <f t="shared" si="33"/>
        <v>132232</v>
      </c>
      <c r="O131" s="20">
        <f t="shared" si="34"/>
        <v>80000</v>
      </c>
    </row>
    <row r="132" spans="1:15" ht="12.75" x14ac:dyDescent="0.2">
      <c r="A132" s="32">
        <v>124</v>
      </c>
      <c r="B132" s="151" t="s">
        <v>239</v>
      </c>
      <c r="C132" s="152">
        <v>807</v>
      </c>
      <c r="D132" s="152">
        <v>1001</v>
      </c>
      <c r="E132" s="152" t="s">
        <v>154</v>
      </c>
      <c r="F132" s="152" t="s">
        <v>154</v>
      </c>
      <c r="G132" s="35"/>
      <c r="H132" s="227">
        <f>H133</f>
        <v>62.231999999999999</v>
      </c>
      <c r="I132" s="227">
        <f t="shared" ref="I132:J132" si="36">I133</f>
        <v>62.231999999999999</v>
      </c>
      <c r="J132" s="227">
        <f t="shared" si="36"/>
        <v>10</v>
      </c>
      <c r="K132" s="162">
        <f t="shared" si="20"/>
        <v>16.068903458028025</v>
      </c>
      <c r="M132" s="20">
        <f t="shared" si="32"/>
        <v>62232</v>
      </c>
      <c r="N132" s="20">
        <f t="shared" si="33"/>
        <v>62232</v>
      </c>
      <c r="O132" s="20">
        <f t="shared" si="34"/>
        <v>10000</v>
      </c>
    </row>
    <row r="133" spans="1:15" ht="12.75" x14ac:dyDescent="0.2">
      <c r="A133" s="32">
        <v>125</v>
      </c>
      <c r="B133" s="64" t="s">
        <v>142</v>
      </c>
      <c r="C133" s="152">
        <v>807</v>
      </c>
      <c r="D133" s="152">
        <v>1001</v>
      </c>
      <c r="E133" s="152" t="s">
        <v>241</v>
      </c>
      <c r="F133" s="152" t="s">
        <v>154</v>
      </c>
      <c r="G133" s="35"/>
      <c r="H133" s="227">
        <f>SUM(H134)</f>
        <v>62.231999999999999</v>
      </c>
      <c r="I133" s="227">
        <f t="shared" ref="I133:J133" si="37">SUM(I134)</f>
        <v>62.231999999999999</v>
      </c>
      <c r="J133" s="227">
        <f t="shared" si="37"/>
        <v>10</v>
      </c>
      <c r="K133" s="162">
        <f t="shared" si="20"/>
        <v>16.068903458028025</v>
      </c>
      <c r="M133" s="20">
        <f t="shared" si="32"/>
        <v>62232</v>
      </c>
      <c r="N133" s="20">
        <f t="shared" si="33"/>
        <v>62232</v>
      </c>
      <c r="O133" s="20">
        <f t="shared" si="34"/>
        <v>10000</v>
      </c>
    </row>
    <row r="134" spans="1:15" ht="25.5" x14ac:dyDescent="0.2">
      <c r="A134" s="32">
        <v>126</v>
      </c>
      <c r="B134" s="151" t="s">
        <v>235</v>
      </c>
      <c r="C134" s="152">
        <v>807</v>
      </c>
      <c r="D134" s="152">
        <v>1001</v>
      </c>
      <c r="E134" s="152">
        <v>6300080000</v>
      </c>
      <c r="F134" s="152" t="s">
        <v>154</v>
      </c>
      <c r="G134" s="35"/>
      <c r="H134" s="227">
        <f>H135</f>
        <v>62.231999999999999</v>
      </c>
      <c r="I134" s="227">
        <f t="shared" ref="I134:J136" si="38">I135</f>
        <v>62.231999999999999</v>
      </c>
      <c r="J134" s="227">
        <f t="shared" si="38"/>
        <v>10</v>
      </c>
      <c r="K134" s="162">
        <f t="shared" si="20"/>
        <v>16.068903458028025</v>
      </c>
      <c r="M134" s="20">
        <f t="shared" si="32"/>
        <v>62232</v>
      </c>
      <c r="N134" s="20">
        <f t="shared" si="33"/>
        <v>62232</v>
      </c>
      <c r="O134" s="20">
        <f t="shared" si="34"/>
        <v>10000</v>
      </c>
    </row>
    <row r="135" spans="1:15" ht="12.75" x14ac:dyDescent="0.2">
      <c r="A135" s="32">
        <v>127</v>
      </c>
      <c r="B135" s="151" t="s">
        <v>236</v>
      </c>
      <c r="C135" s="152">
        <v>807</v>
      </c>
      <c r="D135" s="152">
        <v>1001</v>
      </c>
      <c r="E135" s="152">
        <v>6300080230</v>
      </c>
      <c r="F135" s="152" t="s">
        <v>154</v>
      </c>
      <c r="G135" s="35"/>
      <c r="H135" s="227">
        <f>H136</f>
        <v>62.231999999999999</v>
      </c>
      <c r="I135" s="227">
        <f t="shared" si="38"/>
        <v>62.231999999999999</v>
      </c>
      <c r="J135" s="227">
        <f t="shared" si="38"/>
        <v>10</v>
      </c>
      <c r="K135" s="162">
        <f t="shared" si="20"/>
        <v>16.068903458028025</v>
      </c>
      <c r="M135" s="20">
        <f t="shared" si="32"/>
        <v>62232</v>
      </c>
      <c r="N135" s="20">
        <f t="shared" si="33"/>
        <v>62232</v>
      </c>
      <c r="O135" s="20">
        <f t="shared" si="34"/>
        <v>10000</v>
      </c>
    </row>
    <row r="136" spans="1:15" ht="12.75" x14ac:dyDescent="0.2">
      <c r="A136" s="32">
        <v>128</v>
      </c>
      <c r="B136" s="151" t="s">
        <v>242</v>
      </c>
      <c r="C136" s="152">
        <v>807</v>
      </c>
      <c r="D136" s="152">
        <v>1001</v>
      </c>
      <c r="E136" s="152">
        <v>6300080230</v>
      </c>
      <c r="F136" s="152">
        <v>300</v>
      </c>
      <c r="G136" s="35" t="s">
        <v>257</v>
      </c>
      <c r="H136" s="227">
        <f>H137</f>
        <v>62.231999999999999</v>
      </c>
      <c r="I136" s="227">
        <f t="shared" si="38"/>
        <v>62.231999999999999</v>
      </c>
      <c r="J136" s="227">
        <f t="shared" si="38"/>
        <v>10</v>
      </c>
      <c r="K136" s="162">
        <f t="shared" si="20"/>
        <v>16.068903458028025</v>
      </c>
      <c r="M136" s="20">
        <f t="shared" si="32"/>
        <v>62232</v>
      </c>
      <c r="N136" s="20">
        <f t="shared" si="33"/>
        <v>62232</v>
      </c>
      <c r="O136" s="20">
        <f t="shared" si="34"/>
        <v>10000</v>
      </c>
    </row>
    <row r="137" spans="1:15" ht="12.75" x14ac:dyDescent="0.2">
      <c r="A137" s="32">
        <v>129</v>
      </c>
      <c r="B137" s="151" t="s">
        <v>237</v>
      </c>
      <c r="C137" s="152">
        <v>807</v>
      </c>
      <c r="D137" s="152">
        <v>1001</v>
      </c>
      <c r="E137" s="152">
        <v>6300080230</v>
      </c>
      <c r="F137" s="152">
        <v>312</v>
      </c>
      <c r="G137" s="35" t="s">
        <v>257</v>
      </c>
      <c r="H137" s="227">
        <v>62.231999999999999</v>
      </c>
      <c r="I137" s="227">
        <v>62.231999999999999</v>
      </c>
      <c r="J137" s="227">
        <v>10</v>
      </c>
      <c r="K137" s="162">
        <f t="shared" si="20"/>
        <v>16.068903458028025</v>
      </c>
      <c r="M137" s="20">
        <f t="shared" si="32"/>
        <v>62232</v>
      </c>
      <c r="N137" s="20">
        <f t="shared" si="33"/>
        <v>62232</v>
      </c>
      <c r="O137" s="20">
        <f t="shared" si="34"/>
        <v>10000</v>
      </c>
    </row>
    <row r="138" spans="1:15" ht="12.75" x14ac:dyDescent="0.2">
      <c r="A138" s="32">
        <v>130</v>
      </c>
      <c r="B138" s="215" t="s">
        <v>379</v>
      </c>
      <c r="C138" s="152">
        <v>807</v>
      </c>
      <c r="D138" s="152">
        <v>1003</v>
      </c>
      <c r="E138" s="152" t="s">
        <v>154</v>
      </c>
      <c r="F138" s="152" t="s">
        <v>154</v>
      </c>
      <c r="G138" s="35"/>
      <c r="H138" s="227">
        <f>H139</f>
        <v>0</v>
      </c>
      <c r="I138" s="227">
        <f t="shared" ref="I138:J138" si="39">I139</f>
        <v>70</v>
      </c>
      <c r="J138" s="227">
        <f t="shared" si="39"/>
        <v>70</v>
      </c>
      <c r="K138" s="162">
        <v>0</v>
      </c>
      <c r="M138" s="20">
        <f t="shared" si="32"/>
        <v>0</v>
      </c>
      <c r="N138" s="20">
        <f t="shared" si="33"/>
        <v>70000</v>
      </c>
      <c r="O138" s="20">
        <f t="shared" si="34"/>
        <v>70000</v>
      </c>
    </row>
    <row r="139" spans="1:15" ht="12.75" x14ac:dyDescent="0.2">
      <c r="A139" s="32">
        <v>131</v>
      </c>
      <c r="B139" s="64" t="s">
        <v>142</v>
      </c>
      <c r="C139" s="152">
        <v>807</v>
      </c>
      <c r="D139" s="152">
        <v>1003</v>
      </c>
      <c r="E139" s="152" t="s">
        <v>213</v>
      </c>
      <c r="F139" s="152" t="s">
        <v>154</v>
      </c>
      <c r="G139" s="35"/>
      <c r="H139" s="227">
        <f>SUM(H140)</f>
        <v>0</v>
      </c>
      <c r="I139" s="227">
        <f t="shared" ref="I139:J139" si="40">SUM(I140)</f>
        <v>70</v>
      </c>
      <c r="J139" s="227">
        <f t="shared" si="40"/>
        <v>70</v>
      </c>
      <c r="K139" s="162">
        <v>0</v>
      </c>
      <c r="M139" s="20">
        <f t="shared" si="32"/>
        <v>0</v>
      </c>
      <c r="N139" s="20">
        <f t="shared" si="33"/>
        <v>70000</v>
      </c>
      <c r="O139" s="20">
        <f t="shared" si="34"/>
        <v>70000</v>
      </c>
    </row>
    <row r="140" spans="1:15" ht="12.75" x14ac:dyDescent="0.2">
      <c r="A140" s="32">
        <v>132</v>
      </c>
      <c r="B140" s="215" t="s">
        <v>382</v>
      </c>
      <c r="C140" s="152">
        <v>807</v>
      </c>
      <c r="D140" s="152">
        <v>1003</v>
      </c>
      <c r="E140" s="152">
        <v>6400091190</v>
      </c>
      <c r="F140" s="152" t="s">
        <v>154</v>
      </c>
      <c r="G140" s="35"/>
      <c r="H140" s="227">
        <f>H141</f>
        <v>0</v>
      </c>
      <c r="I140" s="227">
        <f t="shared" ref="I140:J140" si="41">I141</f>
        <v>70</v>
      </c>
      <c r="J140" s="227">
        <f t="shared" si="41"/>
        <v>70</v>
      </c>
      <c r="K140" s="162">
        <v>0</v>
      </c>
      <c r="M140" s="20">
        <f t="shared" si="32"/>
        <v>0</v>
      </c>
      <c r="N140" s="20">
        <f t="shared" si="33"/>
        <v>70000</v>
      </c>
      <c r="O140" s="20">
        <f t="shared" si="34"/>
        <v>70000</v>
      </c>
    </row>
    <row r="141" spans="1:15" ht="12.75" x14ac:dyDescent="0.2">
      <c r="A141" s="32">
        <v>133</v>
      </c>
      <c r="B141" s="215" t="s">
        <v>242</v>
      </c>
      <c r="C141" s="152">
        <v>807</v>
      </c>
      <c r="D141" s="152">
        <v>1003</v>
      </c>
      <c r="E141" s="152">
        <v>6400091190</v>
      </c>
      <c r="F141" s="152">
        <v>300</v>
      </c>
      <c r="G141" s="35" t="s">
        <v>193</v>
      </c>
      <c r="H141" s="227">
        <f>H142</f>
        <v>0</v>
      </c>
      <c r="I141" s="227">
        <f t="shared" ref="I141:J141" si="42">I142</f>
        <v>70</v>
      </c>
      <c r="J141" s="227">
        <f t="shared" si="42"/>
        <v>70</v>
      </c>
      <c r="K141" s="162">
        <v>0</v>
      </c>
      <c r="M141" s="20">
        <f t="shared" si="32"/>
        <v>0</v>
      </c>
      <c r="N141" s="20">
        <f t="shared" si="33"/>
        <v>70000</v>
      </c>
      <c r="O141" s="20">
        <f t="shared" si="34"/>
        <v>70000</v>
      </c>
    </row>
    <row r="142" spans="1:15" ht="13.5" thickBot="1" x14ac:dyDescent="0.25">
      <c r="A142" s="220">
        <v>134</v>
      </c>
      <c r="B142" s="221" t="s">
        <v>188</v>
      </c>
      <c r="C142" s="222">
        <v>807</v>
      </c>
      <c r="D142" s="222">
        <v>1003</v>
      </c>
      <c r="E142" s="222">
        <v>6400091190</v>
      </c>
      <c r="F142" s="222">
        <v>321</v>
      </c>
      <c r="G142" s="223" t="s">
        <v>193</v>
      </c>
      <c r="H142" s="228">
        <v>0</v>
      </c>
      <c r="I142" s="228">
        <v>70</v>
      </c>
      <c r="J142" s="228">
        <v>70</v>
      </c>
      <c r="K142" s="224">
        <v>0</v>
      </c>
      <c r="M142" s="20">
        <f t="shared" si="32"/>
        <v>0</v>
      </c>
      <c r="N142" s="20">
        <f t="shared" si="33"/>
        <v>70000</v>
      </c>
      <c r="O142" s="20">
        <f t="shared" si="34"/>
        <v>70000</v>
      </c>
    </row>
    <row r="143" spans="1:15" ht="13.5" thickBot="1" x14ac:dyDescent="0.25">
      <c r="A143" s="293" t="s">
        <v>10</v>
      </c>
      <c r="B143" s="294"/>
      <c r="C143" s="294"/>
      <c r="D143" s="294"/>
      <c r="E143" s="294"/>
      <c r="F143" s="294"/>
      <c r="G143" s="295"/>
      <c r="H143" s="218">
        <f>H120+H9+H131</f>
        <v>12556.638000000001</v>
      </c>
      <c r="I143" s="218">
        <f>I120+I9+I131</f>
        <v>14468.196800000002</v>
      </c>
      <c r="J143" s="218">
        <f>J120+J9+J131</f>
        <v>3961.5977899999998</v>
      </c>
      <c r="K143" s="219">
        <f>J143/I143*100</f>
        <v>27.381420399258044</v>
      </c>
      <c r="M143" s="20">
        <f t="shared" ref="M143" si="43">H143*1000</f>
        <v>12556638</v>
      </c>
      <c r="N143" s="20">
        <f>I143*1000</f>
        <v>14468196.800000001</v>
      </c>
      <c r="O143" s="20">
        <f t="shared" ref="O143" si="44">J143*1000</f>
        <v>3961597.79</v>
      </c>
    </row>
    <row r="145" spans="8:10" x14ac:dyDescent="0.25">
      <c r="H145" s="70"/>
      <c r="I145" s="69"/>
      <c r="J145" s="69"/>
    </row>
    <row r="146" spans="8:10" x14ac:dyDescent="0.25">
      <c r="H146" s="75">
        <f>H143*1000</f>
        <v>12556638</v>
      </c>
      <c r="I146" s="75">
        <f>I143*1000</f>
        <v>14468196.800000001</v>
      </c>
      <c r="J146" s="75">
        <f>J143*1000</f>
        <v>3961597.79</v>
      </c>
    </row>
    <row r="147" spans="8:10" x14ac:dyDescent="0.25">
      <c r="H147" s="20">
        <f>H146-Пр.3!K53</f>
        <v>0</v>
      </c>
      <c r="I147" s="16">
        <f>I146-'Пр.6.'!E36</f>
        <v>0</v>
      </c>
      <c r="J147" s="20">
        <f>J146-'Пр.6.'!F36</f>
        <v>0</v>
      </c>
    </row>
    <row r="148" spans="8:10" x14ac:dyDescent="0.25">
      <c r="H148" s="66"/>
      <c r="I148" s="66"/>
      <c r="J148" s="66"/>
    </row>
    <row r="149" spans="8:10" x14ac:dyDescent="0.25">
      <c r="H149" s="66"/>
      <c r="I149" s="20"/>
    </row>
    <row r="150" spans="8:10" x14ac:dyDescent="0.25">
      <c r="H150" s="16"/>
      <c r="I150" s="16"/>
    </row>
    <row r="152" spans="8:10" x14ac:dyDescent="0.25">
      <c r="H152" s="66"/>
      <c r="I152" s="66"/>
      <c r="J152" s="66"/>
    </row>
    <row r="153" spans="8:10" x14ac:dyDescent="0.25">
      <c r="H153" s="66"/>
      <c r="I153" s="66"/>
      <c r="J153" s="66"/>
    </row>
  </sheetData>
  <mergeCells count="6">
    <mergeCell ref="A143:G143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B5" sqref="B5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287" t="s">
        <v>440</v>
      </c>
      <c r="C1" s="287"/>
      <c r="D1" s="287"/>
      <c r="E1" s="288"/>
      <c r="F1" s="288"/>
      <c r="G1" s="288"/>
      <c r="H1" s="8"/>
      <c r="I1" s="287"/>
      <c r="J1" s="287"/>
      <c r="K1" s="287"/>
      <c r="L1" s="288"/>
      <c r="M1" s="288"/>
      <c r="N1" s="288"/>
    </row>
    <row r="2" spans="1:14" ht="15.75" x14ac:dyDescent="0.25">
      <c r="B2" s="269" t="s">
        <v>477</v>
      </c>
      <c r="C2" s="269"/>
      <c r="D2" s="269"/>
      <c r="E2" s="269"/>
      <c r="F2" s="269"/>
      <c r="G2" s="269"/>
      <c r="H2" s="8"/>
      <c r="I2" s="8"/>
      <c r="J2" s="8"/>
      <c r="K2" s="8"/>
      <c r="L2" s="8"/>
      <c r="M2" s="8"/>
      <c r="N2" s="8"/>
    </row>
    <row r="3" spans="1:14" ht="15.75" x14ac:dyDescent="0.25">
      <c r="B3" s="269" t="s">
        <v>478</v>
      </c>
      <c r="C3" s="269"/>
      <c r="D3" s="269"/>
      <c r="E3" s="269"/>
      <c r="F3" s="269"/>
      <c r="G3" s="136"/>
      <c r="H3" s="288"/>
      <c r="I3" s="288"/>
      <c r="J3" s="288"/>
      <c r="K3" s="288"/>
      <c r="L3" s="288"/>
      <c r="M3" s="288"/>
      <c r="N3" s="288"/>
    </row>
    <row r="6" spans="1:14" ht="15.75" customHeight="1" x14ac:dyDescent="0.2">
      <c r="A6" s="300" t="s">
        <v>451</v>
      </c>
      <c r="B6" s="300"/>
      <c r="C6" s="300"/>
      <c r="D6" s="300"/>
      <c r="E6" s="300"/>
      <c r="F6" s="300"/>
      <c r="G6" s="301"/>
    </row>
    <row r="7" spans="1:14" ht="30.75" customHeight="1" x14ac:dyDescent="0.2">
      <c r="A7" s="300"/>
      <c r="B7" s="300"/>
      <c r="C7" s="300"/>
      <c r="D7" s="300"/>
      <c r="E7" s="300"/>
      <c r="F7" s="300"/>
      <c r="G7" s="301"/>
    </row>
    <row r="8" spans="1:14" ht="16.5" thickBot="1" x14ac:dyDescent="0.3">
      <c r="A8" s="14"/>
      <c r="B8" s="173"/>
      <c r="C8" s="8"/>
      <c r="D8" s="174"/>
      <c r="E8" s="174"/>
      <c r="G8" s="175" t="s">
        <v>275</v>
      </c>
    </row>
    <row r="9" spans="1:14" ht="51.75" thickBot="1" x14ac:dyDescent="0.25">
      <c r="A9" s="139" t="s">
        <v>53</v>
      </c>
      <c r="B9" s="140" t="s">
        <v>276</v>
      </c>
      <c r="C9" s="87" t="s">
        <v>277</v>
      </c>
      <c r="D9" s="159" t="s">
        <v>452</v>
      </c>
      <c r="E9" s="88" t="s">
        <v>453</v>
      </c>
      <c r="F9" s="160" t="s">
        <v>454</v>
      </c>
      <c r="G9" s="89" t="s">
        <v>274</v>
      </c>
    </row>
    <row r="10" spans="1:14" ht="13.5" thickBot="1" x14ac:dyDescent="0.25">
      <c r="A10" s="90"/>
      <c r="B10" s="176" t="s">
        <v>100</v>
      </c>
      <c r="C10" s="91" t="s">
        <v>127</v>
      </c>
      <c r="D10" s="92" t="s">
        <v>278</v>
      </c>
      <c r="E10" s="92" t="s">
        <v>279</v>
      </c>
      <c r="F10" s="92" t="s">
        <v>280</v>
      </c>
      <c r="G10" s="119" t="s">
        <v>286</v>
      </c>
    </row>
    <row r="11" spans="1:14" ht="13.5" thickBot="1" x14ac:dyDescent="0.25">
      <c r="A11" s="187">
        <v>1</v>
      </c>
      <c r="B11" s="188" t="s">
        <v>281</v>
      </c>
      <c r="C11" s="189" t="s">
        <v>24</v>
      </c>
      <c r="D11" s="190">
        <f>SUM(D12:D16)</f>
        <v>9548.4339999999993</v>
      </c>
      <c r="E11" s="190">
        <f>SUM(E12:E16)</f>
        <v>9685.9469599999993</v>
      </c>
      <c r="F11" s="190">
        <f>SUM(F12:F16)</f>
        <v>2111.68091</v>
      </c>
      <c r="G11" s="191">
        <f>F11/E11*100</f>
        <v>21.801491570422559</v>
      </c>
    </row>
    <row r="12" spans="1:14" ht="25.5" x14ac:dyDescent="0.2">
      <c r="A12" s="202">
        <v>2</v>
      </c>
      <c r="B12" s="203" t="s">
        <v>282</v>
      </c>
      <c r="C12" s="204" t="s">
        <v>25</v>
      </c>
      <c r="D12" s="240">
        <f>(784204.8+236829.85)/1000</f>
        <v>1021.0346500000001</v>
      </c>
      <c r="E12" s="240">
        <f>(784204.8+236829.85+8000+17000)/1000</f>
        <v>1046.0346500000001</v>
      </c>
      <c r="F12" s="241">
        <f>177.83442+39.47164</f>
        <v>217.30606</v>
      </c>
      <c r="G12" s="177">
        <f t="shared" ref="G12:G33" si="0">F12/E12*100</f>
        <v>20.77426976247871</v>
      </c>
      <c r="I12" s="95">
        <f>E12*1000</f>
        <v>1046034.65</v>
      </c>
      <c r="J12" s="95">
        <f>F12*1000</f>
        <v>217306.06</v>
      </c>
    </row>
    <row r="13" spans="1:14" ht="42" customHeight="1" x14ac:dyDescent="0.2">
      <c r="A13" s="205">
        <v>3</v>
      </c>
      <c r="B13" s="158" t="s">
        <v>19</v>
      </c>
      <c r="C13" s="195" t="s">
        <v>26</v>
      </c>
      <c r="D13" s="240">
        <f>718.84032+217.08977</f>
        <v>935.93009000000006</v>
      </c>
      <c r="E13" s="240">
        <f>718.84032+217.08977</f>
        <v>935.93009000000006</v>
      </c>
      <c r="F13" s="157">
        <f>143.49551+36.18164</f>
        <v>179.67714999999998</v>
      </c>
      <c r="G13" s="178">
        <f t="shared" si="0"/>
        <v>19.197710589687311</v>
      </c>
      <c r="I13" s="95">
        <f t="shared" ref="I13:I33" si="1">E13*1000</f>
        <v>935930.09000000008</v>
      </c>
      <c r="J13" s="95">
        <f t="shared" ref="J13:J33" si="2">F13*1000</f>
        <v>179677.15</v>
      </c>
    </row>
    <row r="14" spans="1:14" ht="38.25" x14ac:dyDescent="0.2">
      <c r="A14" s="205">
        <v>4</v>
      </c>
      <c r="B14" s="158" t="s">
        <v>20</v>
      </c>
      <c r="C14" s="195" t="s">
        <v>27</v>
      </c>
      <c r="D14" s="240">
        <f>(3363759.51+1015855.38+32726+20000+900000+17471.76+5000+7500+16800+8453+2798.14+98546+2942+500+100000+120000)/1000</f>
        <v>5712.3517899999988</v>
      </c>
      <c r="E14" s="240">
        <f>(3363759.51+1015855.38+32726+20000+900000+17471.76+5000+7500+16800+8453+2798.14+98546+2942+500+100000+120000+13902+4198+2109+20000+5000)/1000</f>
        <v>5757.5607899999995</v>
      </c>
      <c r="F14" s="157">
        <f>(565969.61+139671.63+84060.56+435271.51+2455+49273+7415+2240)/1000</f>
        <v>1286.3563100000001</v>
      </c>
      <c r="G14" s="178">
        <f t="shared" si="0"/>
        <v>22.342036096852052</v>
      </c>
      <c r="I14" s="95">
        <f t="shared" si="1"/>
        <v>5757560.7899999991</v>
      </c>
      <c r="J14" s="95">
        <f t="shared" si="2"/>
        <v>1286356.31</v>
      </c>
    </row>
    <row r="15" spans="1:14" x14ac:dyDescent="0.2">
      <c r="A15" s="205">
        <v>5</v>
      </c>
      <c r="B15" s="158" t="s">
        <v>217</v>
      </c>
      <c r="C15" s="195" t="s">
        <v>218</v>
      </c>
      <c r="D15" s="240">
        <v>10</v>
      </c>
      <c r="E15" s="240">
        <v>10</v>
      </c>
      <c r="F15" s="93">
        <v>0</v>
      </c>
      <c r="G15" s="178">
        <f t="shared" si="0"/>
        <v>0</v>
      </c>
      <c r="I15" s="95">
        <f t="shared" si="1"/>
        <v>10000</v>
      </c>
      <c r="J15" s="95">
        <f t="shared" si="2"/>
        <v>0</v>
      </c>
    </row>
    <row r="16" spans="1:14" x14ac:dyDescent="0.2">
      <c r="A16" s="205">
        <v>6</v>
      </c>
      <c r="B16" s="158" t="s">
        <v>143</v>
      </c>
      <c r="C16" s="195" t="s">
        <v>57</v>
      </c>
      <c r="D16" s="240">
        <f>(1245347.52+376094.95+58527+6000+53990+94800+12100+7524+14734)/1000</f>
        <v>1869.1174699999999</v>
      </c>
      <c r="E16" s="240">
        <f>(1245347.52+376094.95+58527+6000+53990+94800+12100+7524+14734+63000+4303.96)/1000</f>
        <v>1936.4214299999999</v>
      </c>
      <c r="F16" s="157">
        <f>(280546.88+50798.65+96995.86)/1000</f>
        <v>428.34138999999999</v>
      </c>
      <c r="G16" s="178">
        <f t="shared" si="0"/>
        <v>22.12025664268754</v>
      </c>
      <c r="I16" s="95">
        <f t="shared" si="1"/>
        <v>1936421.43</v>
      </c>
      <c r="J16" s="95">
        <f t="shared" si="2"/>
        <v>428341.39</v>
      </c>
    </row>
    <row r="17" spans="1:10" x14ac:dyDescent="0.2">
      <c r="A17" s="205">
        <v>7</v>
      </c>
      <c r="B17" s="196" t="s">
        <v>145</v>
      </c>
      <c r="C17" s="197" t="s">
        <v>146</v>
      </c>
      <c r="D17" s="86">
        <f>D18</f>
        <v>443.13299999999998</v>
      </c>
      <c r="E17" s="86">
        <f>E18</f>
        <v>522.63699999999994</v>
      </c>
      <c r="F17" s="86">
        <f>F18</f>
        <v>82.781559999999999</v>
      </c>
      <c r="G17" s="178">
        <f t="shared" si="0"/>
        <v>15.839207710131509</v>
      </c>
      <c r="I17" s="95">
        <f t="shared" si="1"/>
        <v>522636.99999999994</v>
      </c>
      <c r="J17" s="95">
        <f t="shared" si="2"/>
        <v>82781.56</v>
      </c>
    </row>
    <row r="18" spans="1:10" x14ac:dyDescent="0.2">
      <c r="A18" s="205">
        <v>8</v>
      </c>
      <c r="B18" s="158" t="s">
        <v>147</v>
      </c>
      <c r="C18" s="195" t="s">
        <v>29</v>
      </c>
      <c r="D18" s="240">
        <v>443.13299999999998</v>
      </c>
      <c r="E18" s="240">
        <f>443.133+79.504</f>
        <v>522.63699999999994</v>
      </c>
      <c r="F18" s="157">
        <f>(65707.2+16168.84+905.52)/1000</f>
        <v>82.781559999999999</v>
      </c>
      <c r="G18" s="178">
        <f t="shared" si="0"/>
        <v>15.839207710131509</v>
      </c>
      <c r="I18" s="95">
        <f t="shared" si="1"/>
        <v>522636.99999999994</v>
      </c>
      <c r="J18" s="95">
        <f t="shared" si="2"/>
        <v>82781.56</v>
      </c>
    </row>
    <row r="19" spans="1:10" ht="25.5" x14ac:dyDescent="0.2">
      <c r="A19" s="205">
        <v>9</v>
      </c>
      <c r="B19" s="84" t="s">
        <v>185</v>
      </c>
      <c r="C19" s="198" t="s">
        <v>194</v>
      </c>
      <c r="D19" s="94">
        <f>D21+D20</f>
        <v>494.053</v>
      </c>
      <c r="E19" s="94">
        <f>E21+E20</f>
        <v>494.053</v>
      </c>
      <c r="F19" s="94">
        <f t="shared" ref="F19" si="3">F21+F20</f>
        <v>0</v>
      </c>
      <c r="G19" s="178">
        <f t="shared" si="0"/>
        <v>0</v>
      </c>
      <c r="I19" s="95">
        <f t="shared" si="1"/>
        <v>494053</v>
      </c>
      <c r="J19" s="95">
        <f t="shared" si="2"/>
        <v>0</v>
      </c>
    </row>
    <row r="20" spans="1:10" x14ac:dyDescent="0.2">
      <c r="A20" s="205">
        <v>10</v>
      </c>
      <c r="B20" s="85" t="s">
        <v>283</v>
      </c>
      <c r="C20" s="199" t="s">
        <v>186</v>
      </c>
      <c r="D20" s="240">
        <f>23.553+447.5</f>
        <v>471.053</v>
      </c>
      <c r="E20" s="240">
        <f>23.553+447.5</f>
        <v>471.053</v>
      </c>
      <c r="F20" s="242">
        <f>0</f>
        <v>0</v>
      </c>
      <c r="G20" s="178">
        <f t="shared" si="0"/>
        <v>0</v>
      </c>
      <c r="I20" s="95">
        <f t="shared" si="1"/>
        <v>471053</v>
      </c>
      <c r="J20" s="95">
        <f t="shared" si="2"/>
        <v>0</v>
      </c>
    </row>
    <row r="21" spans="1:10" ht="25.5" x14ac:dyDescent="0.2">
      <c r="A21" s="205">
        <v>11</v>
      </c>
      <c r="B21" s="134" t="s">
        <v>230</v>
      </c>
      <c r="C21" s="200" t="s">
        <v>231</v>
      </c>
      <c r="D21" s="93">
        <v>23</v>
      </c>
      <c r="E21" s="93">
        <v>23</v>
      </c>
      <c r="F21" s="157">
        <v>0</v>
      </c>
      <c r="G21" s="178">
        <f t="shared" si="0"/>
        <v>0</v>
      </c>
      <c r="I21" s="95">
        <f t="shared" si="1"/>
        <v>23000</v>
      </c>
      <c r="J21" s="95">
        <f t="shared" si="2"/>
        <v>0</v>
      </c>
    </row>
    <row r="22" spans="1:10" x14ac:dyDescent="0.2">
      <c r="A22" s="205">
        <v>12</v>
      </c>
      <c r="B22" s="196" t="s">
        <v>148</v>
      </c>
      <c r="C22" s="197" t="s">
        <v>149</v>
      </c>
      <c r="D22" s="243">
        <f>D23+D24</f>
        <v>1070.0840000000001</v>
      </c>
      <c r="E22" s="243">
        <f>E23+E24</f>
        <v>1257.2331200000001</v>
      </c>
      <c r="F22" s="243">
        <f t="shared" ref="F22" si="4">F23+F24</f>
        <v>401.75373999999999</v>
      </c>
      <c r="G22" s="178">
        <f t="shared" si="0"/>
        <v>31.955389466672653</v>
      </c>
      <c r="I22" s="95">
        <f t="shared" si="1"/>
        <v>1257233.1200000001</v>
      </c>
      <c r="J22" s="95">
        <f t="shared" si="2"/>
        <v>401753.74</v>
      </c>
    </row>
    <row r="23" spans="1:10" x14ac:dyDescent="0.2">
      <c r="A23" s="205">
        <v>13</v>
      </c>
      <c r="B23" s="158" t="s">
        <v>150</v>
      </c>
      <c r="C23" s="195" t="s">
        <v>58</v>
      </c>
      <c r="D23" s="25">
        <f>343.984+726.1</f>
        <v>1070.0840000000001</v>
      </c>
      <c r="E23" s="25">
        <f>343.984+726.1+187.14912</f>
        <v>1257.2331200000001</v>
      </c>
      <c r="F23" s="25">
        <f>176.85374+224.9</f>
        <v>401.75373999999999</v>
      </c>
      <c r="G23" s="178">
        <f t="shared" si="0"/>
        <v>31.955389466672653</v>
      </c>
      <c r="I23" s="95">
        <f t="shared" si="1"/>
        <v>1257233.1200000001</v>
      </c>
      <c r="J23" s="95">
        <f t="shared" si="2"/>
        <v>401753.74</v>
      </c>
    </row>
    <row r="24" spans="1:10" x14ac:dyDescent="0.2">
      <c r="A24" s="205">
        <v>14</v>
      </c>
      <c r="B24" s="158" t="s">
        <v>260</v>
      </c>
      <c r="C24" s="201" t="s">
        <v>258</v>
      </c>
      <c r="D24" s="25">
        <v>0</v>
      </c>
      <c r="E24" s="25">
        <v>0</v>
      </c>
      <c r="F24" s="25">
        <v>0</v>
      </c>
      <c r="G24" s="178">
        <v>0</v>
      </c>
      <c r="I24" s="95">
        <f t="shared" si="1"/>
        <v>0</v>
      </c>
      <c r="J24" s="95">
        <f t="shared" si="2"/>
        <v>0</v>
      </c>
    </row>
    <row r="25" spans="1:10" x14ac:dyDescent="0.2">
      <c r="A25" s="205">
        <v>15</v>
      </c>
      <c r="B25" s="196" t="s">
        <v>151</v>
      </c>
      <c r="C25" s="197" t="s">
        <v>30</v>
      </c>
      <c r="D25" s="243">
        <f>D26+D27</f>
        <v>937.702</v>
      </c>
      <c r="E25" s="243">
        <f>E26+E27</f>
        <v>2375.0947200000001</v>
      </c>
      <c r="F25" s="243">
        <f t="shared" ref="F25" si="5">F26+F27</f>
        <v>1284.38158</v>
      </c>
      <c r="G25" s="178">
        <f t="shared" si="0"/>
        <v>54.077067713745755</v>
      </c>
      <c r="I25" s="95">
        <f t="shared" si="1"/>
        <v>2375094.7200000002</v>
      </c>
      <c r="J25" s="95">
        <f t="shared" si="2"/>
        <v>1284381.58</v>
      </c>
    </row>
    <row r="26" spans="1:10" x14ac:dyDescent="0.2">
      <c r="A26" s="205">
        <v>16</v>
      </c>
      <c r="B26" s="158" t="s">
        <v>152</v>
      </c>
      <c r="C26" s="195" t="s">
        <v>31</v>
      </c>
      <c r="D26" s="25">
        <v>937.702</v>
      </c>
      <c r="E26" s="25">
        <f>937.702+1100+180.747</f>
        <v>2218.4490000000001</v>
      </c>
      <c r="F26" s="157">
        <f>267.45939+860.27647</f>
        <v>1127.73586</v>
      </c>
      <c r="G26" s="178">
        <f t="shared" si="0"/>
        <v>50.83442801705155</v>
      </c>
      <c r="I26" s="95">
        <f t="shared" si="1"/>
        <v>2218449</v>
      </c>
      <c r="J26" s="95">
        <f t="shared" si="2"/>
        <v>1127735.8600000001</v>
      </c>
    </row>
    <row r="27" spans="1:10" x14ac:dyDescent="0.2">
      <c r="A27" s="205">
        <v>17</v>
      </c>
      <c r="B27" s="158" t="s">
        <v>445</v>
      </c>
      <c r="C27" s="195" t="s">
        <v>107</v>
      </c>
      <c r="D27" s="25">
        <v>0</v>
      </c>
      <c r="E27" s="25">
        <v>156.64572000000001</v>
      </c>
      <c r="F27" s="157">
        <v>156.64572000000001</v>
      </c>
      <c r="G27" s="178">
        <f t="shared" si="0"/>
        <v>100</v>
      </c>
      <c r="I27" s="95"/>
      <c r="J27" s="95"/>
    </row>
    <row r="28" spans="1:10" x14ac:dyDescent="0.2">
      <c r="A28" s="205">
        <v>18</v>
      </c>
      <c r="B28" s="196" t="s">
        <v>153</v>
      </c>
      <c r="C28" s="197" t="s">
        <v>225</v>
      </c>
      <c r="D28" s="243">
        <f>D29</f>
        <v>1</v>
      </c>
      <c r="E28" s="243">
        <f>E29</f>
        <v>1</v>
      </c>
      <c r="F28" s="243">
        <f>F29</f>
        <v>1</v>
      </c>
      <c r="G28" s="178">
        <f t="shared" si="0"/>
        <v>100</v>
      </c>
      <c r="I28" s="95">
        <f t="shared" si="1"/>
        <v>1000</v>
      </c>
      <c r="J28" s="95">
        <f t="shared" si="2"/>
        <v>1000</v>
      </c>
    </row>
    <row r="29" spans="1:10" x14ac:dyDescent="0.2">
      <c r="A29" s="205">
        <v>19</v>
      </c>
      <c r="B29" s="158" t="s">
        <v>211</v>
      </c>
      <c r="C29" s="195" t="s">
        <v>28</v>
      </c>
      <c r="D29" s="157">
        <v>1</v>
      </c>
      <c r="E29" s="157">
        <v>1</v>
      </c>
      <c r="F29" s="157">
        <v>1</v>
      </c>
      <c r="G29" s="178">
        <f t="shared" si="0"/>
        <v>100</v>
      </c>
      <c r="I29" s="95">
        <f t="shared" si="1"/>
        <v>1000</v>
      </c>
      <c r="J29" s="95">
        <f t="shared" si="2"/>
        <v>1000</v>
      </c>
    </row>
    <row r="30" spans="1:10" x14ac:dyDescent="0.2">
      <c r="A30" s="205">
        <v>20</v>
      </c>
      <c r="B30" s="148" t="s">
        <v>284</v>
      </c>
      <c r="C30" s="197">
        <v>1000</v>
      </c>
      <c r="D30" s="243">
        <f>D31+D32</f>
        <v>62.231999999999999</v>
      </c>
      <c r="E30" s="243">
        <f>E31+E32</f>
        <v>132.232</v>
      </c>
      <c r="F30" s="243">
        <f t="shared" ref="F30" si="6">F31+F32</f>
        <v>80</v>
      </c>
      <c r="G30" s="178">
        <f t="shared" si="0"/>
        <v>60.499727751225116</v>
      </c>
      <c r="I30" s="95">
        <f t="shared" si="1"/>
        <v>132232</v>
      </c>
      <c r="J30" s="95">
        <f t="shared" si="2"/>
        <v>80000</v>
      </c>
    </row>
    <row r="31" spans="1:10" x14ac:dyDescent="0.2">
      <c r="A31" s="205">
        <v>21</v>
      </c>
      <c r="B31" s="151" t="s">
        <v>239</v>
      </c>
      <c r="C31" s="195">
        <v>1001</v>
      </c>
      <c r="D31" s="157">
        <v>62.231999999999999</v>
      </c>
      <c r="E31" s="157">
        <v>62.231999999999999</v>
      </c>
      <c r="F31" s="157">
        <v>10</v>
      </c>
      <c r="G31" s="178">
        <f t="shared" si="0"/>
        <v>16.068903458028025</v>
      </c>
      <c r="I31" s="95">
        <f t="shared" si="1"/>
        <v>62232</v>
      </c>
      <c r="J31" s="95">
        <f t="shared" si="2"/>
        <v>10000</v>
      </c>
    </row>
    <row r="32" spans="1:10" ht="13.5" thickBot="1" x14ac:dyDescent="0.25">
      <c r="A32" s="206">
        <v>22</v>
      </c>
      <c r="B32" s="172" t="s">
        <v>379</v>
      </c>
      <c r="C32" s="207">
        <v>1003</v>
      </c>
      <c r="D32" s="244">
        <v>0</v>
      </c>
      <c r="E32" s="244">
        <v>70</v>
      </c>
      <c r="F32" s="244">
        <v>70</v>
      </c>
      <c r="G32" s="208">
        <v>0</v>
      </c>
      <c r="I32" s="95">
        <f t="shared" si="1"/>
        <v>70000</v>
      </c>
      <c r="J32" s="95">
        <f t="shared" si="2"/>
        <v>70000</v>
      </c>
    </row>
    <row r="33" spans="1:10" ht="13.5" thickBot="1" x14ac:dyDescent="0.25">
      <c r="A33" s="298" t="s">
        <v>285</v>
      </c>
      <c r="B33" s="299"/>
      <c r="C33" s="192" t="s">
        <v>154</v>
      </c>
      <c r="D33" s="193">
        <f>D11+D17+D22+D25+D30+D19+D28</f>
        <v>12556.637999999999</v>
      </c>
      <c r="E33" s="193">
        <f>E11+E17+E22+E25+E30+E19+E28</f>
        <v>14468.196800000002</v>
      </c>
      <c r="F33" s="193">
        <f>F11+F17+F22+F25+F30+F19+F28</f>
        <v>3961.5977899999998</v>
      </c>
      <c r="G33" s="194">
        <f t="shared" si="0"/>
        <v>27.381420399258044</v>
      </c>
      <c r="I33" s="95">
        <f t="shared" si="1"/>
        <v>14468196.800000001</v>
      </c>
      <c r="J33" s="95">
        <f t="shared" si="2"/>
        <v>3961597.79</v>
      </c>
    </row>
    <row r="36" spans="1:10" x14ac:dyDescent="0.2">
      <c r="D36" s="95">
        <f>D33*1000</f>
        <v>12556637.999999998</v>
      </c>
      <c r="E36" s="95">
        <f t="shared" ref="E36:F36" si="7">E33*1000</f>
        <v>14468196.800000001</v>
      </c>
      <c r="F36" s="95">
        <f t="shared" si="7"/>
        <v>3961597.79</v>
      </c>
    </row>
    <row r="38" spans="1:10" x14ac:dyDescent="0.2">
      <c r="D38" s="95">
        <f>12617301-D36</f>
        <v>60663.000000001863</v>
      </c>
      <c r="E38" s="95">
        <f>E36-16154158.95</f>
        <v>-1685962.1499999985</v>
      </c>
      <c r="F38" s="95">
        <f>F36-14523054.49</f>
        <v>-10561456.699999999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B22" sqref="B22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287" t="s">
        <v>410</v>
      </c>
      <c r="C1" s="287"/>
      <c r="D1" s="8"/>
      <c r="E1" s="287"/>
      <c r="F1" s="287"/>
      <c r="G1" s="287"/>
      <c r="H1" s="288"/>
      <c r="I1" s="288"/>
      <c r="J1" s="288"/>
    </row>
    <row r="2" spans="1:10" ht="15.75" x14ac:dyDescent="0.25">
      <c r="B2" s="269" t="s">
        <v>409</v>
      </c>
      <c r="C2" s="269"/>
      <c r="D2" s="8"/>
      <c r="E2" s="8"/>
      <c r="F2" s="8"/>
      <c r="G2" s="8"/>
      <c r="H2" s="8"/>
      <c r="I2" s="8"/>
      <c r="J2" s="8"/>
    </row>
    <row r="3" spans="1:10" ht="15.75" x14ac:dyDescent="0.25">
      <c r="B3" s="269" t="s">
        <v>479</v>
      </c>
      <c r="C3" s="269"/>
      <c r="D3" s="288"/>
      <c r="E3" s="288"/>
      <c r="F3" s="288"/>
      <c r="G3" s="288"/>
      <c r="H3" s="288"/>
      <c r="I3" s="288"/>
      <c r="J3" s="288"/>
    </row>
    <row r="6" spans="1:10" ht="15.75" customHeight="1" x14ac:dyDescent="0.2">
      <c r="A6" s="300" t="s">
        <v>447</v>
      </c>
      <c r="B6" s="300"/>
      <c r="C6" s="300"/>
    </row>
    <row r="7" spans="1:10" ht="32.25" customHeight="1" x14ac:dyDescent="0.2">
      <c r="A7" s="300"/>
      <c r="B7" s="300"/>
      <c r="C7" s="300"/>
    </row>
    <row r="8" spans="1:10" ht="16.5" thickBot="1" x14ac:dyDescent="0.25">
      <c r="A8" s="14"/>
      <c r="B8" s="173"/>
      <c r="C8" s="175" t="s">
        <v>275</v>
      </c>
    </row>
    <row r="9" spans="1:10" ht="48" thickBot="1" x14ac:dyDescent="0.25">
      <c r="A9" s="127" t="s">
        <v>448</v>
      </c>
      <c r="B9" s="128" t="s">
        <v>449</v>
      </c>
      <c r="C9" s="129" t="s">
        <v>450</v>
      </c>
    </row>
    <row r="10" spans="1:10" x14ac:dyDescent="0.2">
      <c r="A10" s="125" t="s">
        <v>100</v>
      </c>
      <c r="B10" s="179">
        <v>2</v>
      </c>
      <c r="C10" s="126" t="s">
        <v>278</v>
      </c>
    </row>
    <row r="11" spans="1:10" ht="16.5" thickBot="1" x14ac:dyDescent="0.25">
      <c r="A11" s="130">
        <v>10</v>
      </c>
      <c r="B11" s="131">
        <v>0</v>
      </c>
      <c r="C11" s="132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2023-05-11T03:39:41Z</cp:lastPrinted>
  <dcterms:created xsi:type="dcterms:W3CDTF">1996-10-08T23:32:33Z</dcterms:created>
  <dcterms:modified xsi:type="dcterms:W3CDTF">2023-05-29T06:19:29Z</dcterms:modified>
</cp:coreProperties>
</file>